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eric\Documents\Analemna\xls-files\"/>
    </mc:Choice>
  </mc:AlternateContent>
  <bookViews>
    <workbookView xWindow="6105" yWindow="-15" windowWidth="6150" windowHeight="6720" tabRatio="684" activeTab="11"/>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 sheetId="11" r:id="rId11"/>
    <sheet name="hours"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52511" iterate="1" iterateCount="1" calcOnSave="0"/>
</workbook>
</file>

<file path=xl/calcChain.xml><?xml version="1.0" encoding="utf-8"?>
<calcChain xmlns="http://schemas.openxmlformats.org/spreadsheetml/2006/main">
  <c r="J1" i="8" l="1"/>
  <c r="M1" i="8"/>
  <c r="AJ1" i="8"/>
  <c r="AM1" i="8"/>
  <c r="J2" i="8"/>
  <c r="M2" i="8"/>
  <c r="AJ2" i="8"/>
  <c r="AM2" i="8"/>
  <c r="J3" i="8"/>
  <c r="M3" i="8"/>
  <c r="AJ3" i="8"/>
  <c r="AM3" i="8"/>
  <c r="B4" i="8"/>
  <c r="M4" i="8"/>
  <c r="AM4" i="8"/>
  <c r="E5" i="8"/>
  <c r="J5" i="8"/>
  <c r="M5" i="8"/>
  <c r="AJ5" i="8"/>
  <c r="AM5" i="8"/>
  <c r="J6" i="8"/>
  <c r="M6" i="8"/>
  <c r="AJ6" i="8"/>
  <c r="AM6" i="8"/>
  <c r="B7" i="8"/>
  <c r="D7" i="8"/>
  <c r="M7" i="8"/>
  <c r="AM7" i="8"/>
  <c r="A8" i="8"/>
  <c r="B8" i="8"/>
  <c r="G8" i="8"/>
  <c r="I8" i="8"/>
  <c r="M8" i="8"/>
  <c r="AM8" i="8"/>
  <c r="B9" i="8"/>
  <c r="D9" i="8"/>
  <c r="G9" i="8"/>
  <c r="J9" i="8"/>
  <c r="M9" i="8"/>
  <c r="AJ9" i="8"/>
  <c r="AM9" i="8"/>
  <c r="B10" i="8"/>
  <c r="D10" i="8"/>
  <c r="G10" i="8"/>
  <c r="M10" i="8"/>
  <c r="AM10" i="8"/>
  <c r="B11" i="8"/>
  <c r="D11" i="8"/>
  <c r="E11" i="8"/>
  <c r="M11" i="8"/>
  <c r="AM11" i="8"/>
  <c r="B12" i="8"/>
  <c r="E12" i="8"/>
  <c r="S25" i="8" s="1"/>
  <c r="R25" i="8" s="1"/>
  <c r="F12" i="8"/>
  <c r="G12" i="8"/>
  <c r="M12" i="8"/>
  <c r="AM12" i="8"/>
  <c r="B13" i="8"/>
  <c r="F13" i="8"/>
  <c r="M13" i="8"/>
  <c r="AK13" i="8"/>
  <c r="AM13" i="8"/>
  <c r="B14" i="8"/>
  <c r="K14" i="8"/>
  <c r="M14" i="8"/>
  <c r="AK14" i="8"/>
  <c r="AM14" i="8"/>
  <c r="B15" i="8"/>
  <c r="E15" i="8"/>
  <c r="J15" i="8"/>
  <c r="M15" i="8"/>
  <c r="AJ15" i="8"/>
  <c r="AM15" i="8"/>
  <c r="B16" i="8"/>
  <c r="E16" i="8"/>
  <c r="J16" i="8"/>
  <c r="M16" i="8"/>
  <c r="AJ16" i="8"/>
  <c r="AM16" i="8"/>
  <c r="B17" i="8"/>
  <c r="K13" i="8" s="1"/>
  <c r="E17" i="8"/>
  <c r="J17" i="8"/>
  <c r="M17" i="8"/>
  <c r="AJ17" i="8"/>
  <c r="AM17" i="8"/>
  <c r="B18" i="8"/>
  <c r="F18" i="8"/>
  <c r="G18" i="8"/>
  <c r="K18" i="8"/>
  <c r="C16" i="8" s="1"/>
  <c r="M18" i="8"/>
  <c r="AK18" i="8"/>
  <c r="AM18" i="8"/>
  <c r="B19" i="8"/>
  <c r="H19" i="8"/>
  <c r="I19" i="8"/>
  <c r="J19" i="8"/>
  <c r="M19" i="8"/>
  <c r="AM19" i="8"/>
  <c r="B20" i="8"/>
  <c r="E20" i="8"/>
  <c r="K20" i="8"/>
  <c r="AK20" i="8"/>
  <c r="B21" i="8"/>
  <c r="E21" i="8"/>
  <c r="H21" i="8"/>
  <c r="J21" i="8"/>
  <c r="AL21" i="8"/>
  <c r="B22" i="8"/>
  <c r="D22" i="8"/>
  <c r="AJ22" i="8"/>
  <c r="C23" i="8"/>
  <c r="T23" i="8"/>
  <c r="F80" i="8" s="1"/>
  <c r="U23" i="8"/>
  <c r="AJ23" i="8"/>
  <c r="A24" i="8"/>
  <c r="B24" i="8"/>
  <c r="C24" i="8"/>
  <c r="D24" i="8" s="1"/>
  <c r="E24" i="8"/>
  <c r="G24" i="8"/>
  <c r="H24" i="8"/>
  <c r="U24" i="8"/>
  <c r="K25" i="8"/>
  <c r="A26" i="8"/>
  <c r="F22" i="8" s="1"/>
  <c r="C26" i="8"/>
  <c r="D26" i="8"/>
  <c r="G26" i="8"/>
  <c r="H26" i="8"/>
  <c r="J26" i="8"/>
  <c r="K26" i="8"/>
  <c r="L26" i="8"/>
  <c r="A28" i="8"/>
  <c r="B28" i="8" s="1"/>
  <c r="D60" i="8"/>
  <c r="I61" i="8"/>
  <c r="J61" i="8"/>
  <c r="B62" i="8"/>
  <c r="S24" i="8" s="1"/>
  <c r="C62" i="8"/>
  <c r="D62" i="8"/>
  <c r="T24" i="8" s="1"/>
  <c r="G62" i="8"/>
  <c r="H62" i="8"/>
  <c r="C63" i="8"/>
  <c r="H63" i="8"/>
  <c r="J63" i="8"/>
  <c r="L63" i="8" s="1"/>
  <c r="N63" i="8" s="1"/>
  <c r="C64" i="8"/>
  <c r="H64" i="8"/>
  <c r="I64" i="8"/>
  <c r="I65" i="8" s="1"/>
  <c r="I66" i="8" s="1"/>
  <c r="I67" i="8" s="1"/>
  <c r="I68" i="8" s="1"/>
  <c r="I69" i="8" s="1"/>
  <c r="I70" i="8" s="1"/>
  <c r="J64" i="8"/>
  <c r="L64" i="8" s="1"/>
  <c r="N64" i="8" s="1"/>
  <c r="C65" i="8"/>
  <c r="H65" i="8"/>
  <c r="J65" i="8"/>
  <c r="A65" i="8" s="1"/>
  <c r="K65" i="8"/>
  <c r="L65" i="8"/>
  <c r="N65" i="8" s="1"/>
  <c r="M65" i="8"/>
  <c r="O65" i="8"/>
  <c r="C66" i="8"/>
  <c r="H66" i="8"/>
  <c r="J66" i="8"/>
  <c r="A66" i="8" s="1"/>
  <c r="C67" i="8"/>
  <c r="H67" i="8"/>
  <c r="J67" i="8"/>
  <c r="A67" i="8" s="1"/>
  <c r="M67" i="8"/>
  <c r="O67" i="8" s="1"/>
  <c r="C68" i="8"/>
  <c r="H68" i="8"/>
  <c r="J68" i="8"/>
  <c r="A68" i="8" s="1"/>
  <c r="L68" i="8"/>
  <c r="N68" i="8" s="1"/>
  <c r="M68" i="8"/>
  <c r="O68" i="8" s="1"/>
  <c r="C69" i="8"/>
  <c r="H69" i="8"/>
  <c r="J69" i="8"/>
  <c r="A69" i="8" s="1"/>
  <c r="K69" i="8"/>
  <c r="L69" i="8"/>
  <c r="N69" i="8" s="1"/>
  <c r="M69" i="8"/>
  <c r="O69" i="8"/>
  <c r="C70" i="8"/>
  <c r="H70" i="8"/>
  <c r="J70" i="8"/>
  <c r="A70" i="8" s="1"/>
  <c r="C71" i="8"/>
  <c r="H71" i="8"/>
  <c r="J71" i="8"/>
  <c r="A71" i="8" s="1"/>
  <c r="C72" i="8"/>
  <c r="H72" i="8"/>
  <c r="I72" i="8"/>
  <c r="I73" i="8" s="1"/>
  <c r="I74" i="8" s="1"/>
  <c r="I75" i="8" s="1"/>
  <c r="I76" i="8" s="1"/>
  <c r="I77" i="8" s="1"/>
  <c r="I78" i="8" s="1"/>
  <c r="J72" i="8"/>
  <c r="K72" i="8" s="1"/>
  <c r="C73" i="8"/>
  <c r="H73" i="8"/>
  <c r="J73" i="8"/>
  <c r="K73" i="8" s="1"/>
  <c r="C74" i="8"/>
  <c r="H74" i="8"/>
  <c r="J74" i="8"/>
  <c r="K74" i="8" s="1"/>
  <c r="C75" i="8"/>
  <c r="H75" i="8"/>
  <c r="J75" i="8"/>
  <c r="K75" i="8" s="1"/>
  <c r="C76" i="8"/>
  <c r="H76" i="8"/>
  <c r="J76" i="8"/>
  <c r="K76" i="8" s="1"/>
  <c r="C77" i="8"/>
  <c r="H77" i="8"/>
  <c r="J77" i="8"/>
  <c r="K77" i="8" s="1"/>
  <c r="C78" i="8"/>
  <c r="H78" i="8"/>
  <c r="J78" i="8"/>
  <c r="K78" i="8" s="1"/>
  <c r="J79" i="8"/>
  <c r="K79" i="8" s="1"/>
  <c r="B80" i="8"/>
  <c r="H80" i="8"/>
  <c r="B82" i="8"/>
  <c r="C83" i="8"/>
  <c r="D83" i="8"/>
  <c r="E83" i="8"/>
  <c r="F83" i="8"/>
  <c r="G83" i="8"/>
  <c r="H83" i="8"/>
  <c r="I83" i="8"/>
  <c r="J83" i="8"/>
  <c r="K83" i="8"/>
  <c r="L83" i="8"/>
  <c r="M83" i="8"/>
  <c r="N83" i="8"/>
  <c r="B84" i="8"/>
  <c r="B88" i="8" s="1"/>
  <c r="B92" i="8" s="1"/>
  <c r="C84" i="8"/>
  <c r="D84" i="8"/>
  <c r="E84" i="8"/>
  <c r="F84" i="8"/>
  <c r="G84" i="8"/>
  <c r="H84" i="8"/>
  <c r="I84" i="8"/>
  <c r="J84" i="8"/>
  <c r="K84" i="8"/>
  <c r="L84" i="8"/>
  <c r="M84" i="8"/>
  <c r="N84" i="8"/>
  <c r="B86" i="8"/>
  <c r="B90" i="8" s="1"/>
  <c r="C87" i="8"/>
  <c r="D87" i="8"/>
  <c r="E87" i="8"/>
  <c r="F87" i="8"/>
  <c r="G87" i="8"/>
  <c r="H87" i="8"/>
  <c r="I87" i="8"/>
  <c r="J87" i="8"/>
  <c r="K87" i="8"/>
  <c r="L87" i="8"/>
  <c r="M87" i="8"/>
  <c r="N87" i="8"/>
  <c r="C88" i="8"/>
  <c r="D88" i="8"/>
  <c r="E88" i="8"/>
  <c r="F88" i="8"/>
  <c r="G88" i="8"/>
  <c r="H88" i="8"/>
  <c r="I88" i="8"/>
  <c r="J88" i="8"/>
  <c r="K88" i="8"/>
  <c r="L88" i="8"/>
  <c r="M88" i="8"/>
  <c r="N88" i="8"/>
  <c r="C91" i="8"/>
  <c r="D91" i="8"/>
  <c r="E91" i="8"/>
  <c r="F91" i="8"/>
  <c r="G91" i="8"/>
  <c r="H91" i="8"/>
  <c r="I91" i="8"/>
  <c r="J91" i="8"/>
  <c r="K91" i="8"/>
  <c r="L91" i="8"/>
  <c r="M91" i="8"/>
  <c r="N91" i="8"/>
  <c r="C92" i="8"/>
  <c r="D92" i="8"/>
  <c r="E92" i="8"/>
  <c r="F92" i="8"/>
  <c r="G92" i="8"/>
  <c r="H92" i="8"/>
  <c r="I92" i="8"/>
  <c r="J92" i="8"/>
  <c r="K92" i="8"/>
  <c r="L92" i="8"/>
  <c r="M92" i="8"/>
  <c r="N92" i="8"/>
  <c r="C95" i="8"/>
  <c r="F95" i="8"/>
  <c r="B96" i="8"/>
  <c r="C96" i="8"/>
  <c r="D96" i="8"/>
  <c r="F96" i="8"/>
  <c r="G96" i="8"/>
  <c r="J96" i="8"/>
  <c r="B97" i="8"/>
  <c r="C97" i="8" s="1"/>
  <c r="J97" i="8"/>
  <c r="M97" i="8"/>
  <c r="N97" i="8" s="1"/>
  <c r="C98" i="8"/>
  <c r="D98" i="8"/>
  <c r="G98" i="8" s="1"/>
  <c r="E98" i="8"/>
  <c r="M98" i="8"/>
  <c r="N98" i="8" s="1"/>
  <c r="N100" i="8" s="1"/>
  <c r="C99" i="8"/>
  <c r="D99" i="8"/>
  <c r="G99" i="8" s="1"/>
  <c r="E99" i="8"/>
  <c r="C100" i="8"/>
  <c r="D100" i="8"/>
  <c r="G100" i="8" s="1"/>
  <c r="E100" i="8"/>
  <c r="B104" i="8"/>
  <c r="B105" i="8"/>
  <c r="D105" i="8"/>
  <c r="H105" i="8" s="1"/>
  <c r="B106" i="8"/>
  <c r="E106" i="8"/>
  <c r="J106" i="8"/>
  <c r="B107" i="8"/>
  <c r="J107" i="8"/>
  <c r="B108" i="8"/>
  <c r="E108" i="8"/>
  <c r="B109" i="8"/>
  <c r="D109" i="8"/>
  <c r="I17" i="8" s="1"/>
  <c r="B110" i="8"/>
  <c r="B111" i="8"/>
  <c r="D111" i="8"/>
  <c r="D112" i="8" s="1"/>
  <c r="A1" i="10"/>
  <c r="B1" i="10"/>
  <c r="C1" i="10"/>
  <c r="A2" i="10"/>
  <c r="A3" i="10"/>
  <c r="C3" i="10"/>
  <c r="A4" i="10"/>
  <c r="C4" i="10"/>
  <c r="A5" i="10"/>
  <c r="C5" i="10"/>
  <c r="A6" i="10"/>
  <c r="C6" i="10"/>
  <c r="B9" i="10" s="1"/>
  <c r="C9" i="10" s="1"/>
  <c r="L6" i="10"/>
  <c r="A7" i="10"/>
  <c r="C7" i="10"/>
  <c r="D8" i="10"/>
  <c r="E8" i="10"/>
  <c r="F8" i="10" s="1"/>
  <c r="J8" i="10" s="1"/>
  <c r="D9" i="10"/>
  <c r="E9" i="10" s="1"/>
  <c r="K9" i="10" s="1"/>
  <c r="D10" i="10"/>
  <c r="E10" i="10" s="1"/>
  <c r="F10" i="10" s="1"/>
  <c r="J10" i="10" s="1"/>
  <c r="D11" i="10"/>
  <c r="E11" i="10" s="1"/>
  <c r="K11" i="10" s="1"/>
  <c r="D12" i="10"/>
  <c r="E12" i="10"/>
  <c r="K12" i="10" s="1"/>
  <c r="D13" i="10"/>
  <c r="E13" i="10" s="1"/>
  <c r="D14" i="10"/>
  <c r="E14" i="10"/>
  <c r="K14" i="10" s="1"/>
  <c r="A15" i="10"/>
  <c r="D15" i="10"/>
  <c r="E15" i="10"/>
  <c r="K15" i="10" s="1"/>
  <c r="A16" i="10"/>
  <c r="B16" i="10"/>
  <c r="D16" i="10"/>
  <c r="E16" i="10" s="1"/>
  <c r="A17" i="10"/>
  <c r="B17" i="10"/>
  <c r="D17" i="10"/>
  <c r="E17" i="10"/>
  <c r="K17" i="10" s="1"/>
  <c r="A18" i="10"/>
  <c r="B18" i="10"/>
  <c r="D18" i="10"/>
  <c r="E18" i="10" s="1"/>
  <c r="A19" i="10"/>
  <c r="B19" i="10"/>
  <c r="D19" i="10"/>
  <c r="E19" i="10"/>
  <c r="K19" i="10" s="1"/>
  <c r="A20" i="10"/>
  <c r="B20" i="10"/>
  <c r="D20" i="10"/>
  <c r="E20" i="10" s="1"/>
  <c r="C22" i="10"/>
  <c r="J105" i="8" l="1"/>
  <c r="J108" i="8"/>
  <c r="J109" i="8"/>
  <c r="P68" i="8"/>
  <c r="Q68" i="8" s="1"/>
  <c r="E68" i="8" s="1"/>
  <c r="F68" i="8" s="1"/>
  <c r="P67" i="8"/>
  <c r="Q67" i="8" s="1"/>
  <c r="E67" i="8" s="1"/>
  <c r="F67" i="8" s="1"/>
  <c r="F9" i="10"/>
  <c r="J9" i="10" s="1"/>
  <c r="I9" i="10" s="1"/>
  <c r="L9" i="10" s="1"/>
  <c r="B83" i="8"/>
  <c r="B87" i="8" s="1"/>
  <c r="B91" i="8" s="1"/>
  <c r="L78" i="8"/>
  <c r="N78" i="8" s="1"/>
  <c r="L76" i="8"/>
  <c r="N76" i="8" s="1"/>
  <c r="L74" i="8"/>
  <c r="N74" i="8" s="1"/>
  <c r="L72" i="8"/>
  <c r="N72" i="8" s="1"/>
  <c r="M70" i="8"/>
  <c r="O70" i="8" s="1"/>
  <c r="K68" i="8"/>
  <c r="L67" i="8"/>
  <c r="N67" i="8" s="1"/>
  <c r="M66" i="8"/>
  <c r="O66" i="8" s="1"/>
  <c r="A29" i="8"/>
  <c r="P69" i="8"/>
  <c r="Q69" i="8" s="1"/>
  <c r="E69" i="8" s="1"/>
  <c r="F69" i="8" s="1"/>
  <c r="C82" i="8"/>
  <c r="L70" i="8"/>
  <c r="N70" i="8" s="1"/>
  <c r="K67" i="8"/>
  <c r="L66" i="8"/>
  <c r="N66" i="8" s="1"/>
  <c r="C28" i="8"/>
  <c r="D28" i="8" s="1"/>
  <c r="E28" i="8" s="1"/>
  <c r="L21" i="8"/>
  <c r="P65" i="8"/>
  <c r="Q65" i="8" s="1"/>
  <c r="E65" i="8" s="1"/>
  <c r="F65" i="8" s="1"/>
  <c r="L77" i="8"/>
  <c r="N77" i="8" s="1"/>
  <c r="L75" i="8"/>
  <c r="N75" i="8" s="1"/>
  <c r="L73" i="8"/>
  <c r="N73" i="8" s="1"/>
  <c r="L71" i="8"/>
  <c r="N71" i="8" s="1"/>
  <c r="K70" i="8"/>
  <c r="K66" i="8"/>
  <c r="C29" i="8"/>
  <c r="D29" i="8" s="1"/>
  <c r="E29" i="8" s="1"/>
  <c r="F19" i="10"/>
  <c r="J19" i="10" s="1"/>
  <c r="I19" i="10" s="1"/>
  <c r="L19" i="10" s="1"/>
  <c r="F17" i="10"/>
  <c r="J17" i="10" s="1"/>
  <c r="I17" i="10" s="1"/>
  <c r="L17" i="10" s="1"/>
  <c r="F15" i="10"/>
  <c r="J15" i="10" s="1"/>
  <c r="I15" i="10" s="1"/>
  <c r="L15" i="10" s="1"/>
  <c r="F14" i="10"/>
  <c r="J14" i="10" s="1"/>
  <c r="I14" i="10" s="1"/>
  <c r="L14" i="10" s="1"/>
  <c r="F12" i="10"/>
  <c r="J12" i="10" s="1"/>
  <c r="I12" i="10" s="1"/>
  <c r="L12" i="10" s="1"/>
  <c r="F11" i="10"/>
  <c r="J11" i="10" s="1"/>
  <c r="I11" i="10" s="1"/>
  <c r="L11" i="10" s="1"/>
  <c r="K10" i="10"/>
  <c r="I10" i="10" s="1"/>
  <c r="L10" i="10" s="1"/>
  <c r="K8" i="10"/>
  <c r="L79" i="8"/>
  <c r="N79" i="8" s="1"/>
  <c r="D97" i="8"/>
  <c r="G97" i="8" s="1"/>
  <c r="F29" i="8"/>
  <c r="G29" i="8" s="1"/>
  <c r="K100" i="8"/>
  <c r="K99" i="8"/>
  <c r="K18" i="10"/>
  <c r="F18" i="10"/>
  <c r="J18" i="10" s="1"/>
  <c r="K13" i="10"/>
  <c r="F13" i="10"/>
  <c r="J13" i="10" s="1"/>
  <c r="K20" i="10"/>
  <c r="F20" i="10"/>
  <c r="J20" i="10" s="1"/>
  <c r="K16" i="10"/>
  <c r="F16" i="10"/>
  <c r="J16" i="10" s="1"/>
  <c r="H109" i="8"/>
  <c r="H107" i="8"/>
  <c r="I8" i="10"/>
  <c r="L8" i="10" s="1"/>
  <c r="D68" i="8"/>
  <c r="G68" i="8" s="1"/>
  <c r="N101" i="8"/>
  <c r="D69" i="8"/>
  <c r="G69" i="8" s="1"/>
  <c r="D67" i="8"/>
  <c r="G67" i="8" s="1"/>
  <c r="D65" i="8"/>
  <c r="G65" i="8" s="1"/>
  <c r="I9" i="8"/>
  <c r="H10" i="8"/>
  <c r="I21" i="8"/>
  <c r="K9" i="8"/>
  <c r="A78" i="8"/>
  <c r="A77" i="8"/>
  <c r="A76" i="8"/>
  <c r="A75" i="8"/>
  <c r="A74" i="8"/>
  <c r="A73" i="8"/>
  <c r="A72" i="8"/>
  <c r="I10" i="8"/>
  <c r="K64" i="8"/>
  <c r="M64" i="8"/>
  <c r="A63" i="8"/>
  <c r="K63" i="8"/>
  <c r="M63" i="8"/>
  <c r="G15" i="8"/>
  <c r="G16" i="8" s="1"/>
  <c r="D106" i="8"/>
  <c r="D107" i="8" s="1"/>
  <c r="D108" i="8" s="1"/>
  <c r="G21" i="8" s="1"/>
  <c r="E97" i="8"/>
  <c r="M79" i="8"/>
  <c r="M78" i="8"/>
  <c r="M77" i="8"/>
  <c r="M76" i="8"/>
  <c r="M75" i="8"/>
  <c r="M74" i="8"/>
  <c r="M73" i="8"/>
  <c r="M72" i="8"/>
  <c r="M71" i="8"/>
  <c r="K71" i="8"/>
  <c r="A64" i="8"/>
  <c r="H29" i="8"/>
  <c r="F28" i="8"/>
  <c r="S26" i="8"/>
  <c r="AJ18" i="8"/>
  <c r="AK9" i="8"/>
  <c r="H9" i="8"/>
  <c r="I16" i="10" l="1"/>
  <c r="L16" i="10" s="1"/>
  <c r="I13" i="10"/>
  <c r="L13" i="10" s="1"/>
  <c r="B29" i="8"/>
  <c r="A30" i="8"/>
  <c r="P70" i="8"/>
  <c r="P66" i="8"/>
  <c r="I20" i="10"/>
  <c r="L20" i="10" s="1"/>
  <c r="I18" i="10"/>
  <c r="L18" i="10" s="1"/>
  <c r="Q29" i="8"/>
  <c r="G106" i="8"/>
  <c r="G108" i="8"/>
  <c r="R26" i="8"/>
  <c r="D82" i="8"/>
  <c r="S27" i="8"/>
  <c r="G28" i="8"/>
  <c r="H28" i="8"/>
  <c r="Q28" i="8"/>
  <c r="O71" i="8"/>
  <c r="P71" i="8" s="1"/>
  <c r="Q71" i="8" s="1"/>
  <c r="E71" i="8" s="1"/>
  <c r="F71" i="8" s="1"/>
  <c r="O73" i="8"/>
  <c r="P73" i="8" s="1"/>
  <c r="D73" i="8" s="1"/>
  <c r="G73" i="8" s="1"/>
  <c r="O75" i="8"/>
  <c r="P75" i="8" s="1"/>
  <c r="D75" i="8" s="1"/>
  <c r="G75" i="8" s="1"/>
  <c r="O77" i="8"/>
  <c r="P77" i="8" s="1"/>
  <c r="D77" i="8" s="1"/>
  <c r="G77" i="8" s="1"/>
  <c r="O79" i="8"/>
  <c r="P79" i="8" s="1"/>
  <c r="G20" i="8" s="1"/>
  <c r="O64" i="8"/>
  <c r="P64" i="8" s="1"/>
  <c r="Q64" i="8" s="1"/>
  <c r="E64" i="8" s="1"/>
  <c r="F64" i="8" s="1"/>
  <c r="O72" i="8"/>
  <c r="P72" i="8" s="1"/>
  <c r="D72" i="8" s="1"/>
  <c r="G72" i="8" s="1"/>
  <c r="O74" i="8"/>
  <c r="P74" i="8" s="1"/>
  <c r="D74" i="8" s="1"/>
  <c r="G74" i="8" s="1"/>
  <c r="Q74" i="8"/>
  <c r="E74" i="8" s="1"/>
  <c r="F74" i="8" s="1"/>
  <c r="O76" i="8"/>
  <c r="P76" i="8" s="1"/>
  <c r="D76" i="8" s="1"/>
  <c r="G76" i="8" s="1"/>
  <c r="O78" i="8"/>
  <c r="P78" i="8" s="1"/>
  <c r="D78" i="8" s="1"/>
  <c r="G78" i="8" s="1"/>
  <c r="H97" i="8" s="1"/>
  <c r="Q78" i="8"/>
  <c r="E78" i="8" s="1"/>
  <c r="F78" i="8" s="1"/>
  <c r="O63" i="8"/>
  <c r="P63" i="8" s="1"/>
  <c r="D63" i="8" s="1"/>
  <c r="D71" i="8"/>
  <c r="G71" i="8" s="1"/>
  <c r="D64" i="8"/>
  <c r="G64" i="8" s="1"/>
  <c r="Q63" i="8" l="1"/>
  <c r="E63" i="8" s="1"/>
  <c r="E79" i="8" s="1"/>
  <c r="Q76" i="8"/>
  <c r="E76" i="8" s="1"/>
  <c r="F76" i="8" s="1"/>
  <c r="Q72" i="8"/>
  <c r="E72" i="8" s="1"/>
  <c r="F72" i="8" s="1"/>
  <c r="B30" i="8"/>
  <c r="A31" i="8"/>
  <c r="C30" i="8"/>
  <c r="D30" i="8" s="1"/>
  <c r="Q66" i="8"/>
  <c r="E66" i="8" s="1"/>
  <c r="F66" i="8" s="1"/>
  <c r="D66" i="8"/>
  <c r="G66" i="8" s="1"/>
  <c r="Q70" i="8"/>
  <c r="E70" i="8" s="1"/>
  <c r="F70" i="8" s="1"/>
  <c r="D70" i="8"/>
  <c r="G70" i="8" s="1"/>
  <c r="G63" i="8"/>
  <c r="G79" i="8" s="1"/>
  <c r="D79" i="8"/>
  <c r="K105" i="8"/>
  <c r="K106" i="8"/>
  <c r="K109" i="8"/>
  <c r="F100" i="8"/>
  <c r="H100" i="8"/>
  <c r="K107" i="8"/>
  <c r="K108" i="8"/>
  <c r="H98" i="8"/>
  <c r="F97" i="8"/>
  <c r="H99" i="8"/>
  <c r="F98" i="8"/>
  <c r="F99" i="8"/>
  <c r="R27" i="8"/>
  <c r="S28" i="8"/>
  <c r="E82" i="8"/>
  <c r="Q79" i="8"/>
  <c r="Q77" i="8"/>
  <c r="E77" i="8" s="1"/>
  <c r="F77" i="8" s="1"/>
  <c r="Q75" i="8"/>
  <c r="E75" i="8" s="1"/>
  <c r="F75" i="8" s="1"/>
  <c r="Q73" i="8"/>
  <c r="E73" i="8" s="1"/>
  <c r="F73" i="8" s="1"/>
  <c r="F63" i="8"/>
  <c r="F79" i="8" s="1"/>
  <c r="I20" i="8"/>
  <c r="K21" i="8"/>
  <c r="AK21" i="8"/>
  <c r="J20" i="8"/>
  <c r="N25" i="8"/>
  <c r="G17" i="8"/>
  <c r="H20" i="8"/>
  <c r="J18" i="8"/>
  <c r="AK19" i="8"/>
  <c r="K19" i="8"/>
  <c r="B31" i="8" l="1"/>
  <c r="A32" i="8"/>
  <c r="C31" i="8"/>
  <c r="D31" i="8" s="1"/>
  <c r="E30" i="8"/>
  <c r="F30" i="8"/>
  <c r="K12" i="8"/>
  <c r="AJ12" i="8"/>
  <c r="J12" i="8"/>
  <c r="AK12" i="8"/>
  <c r="O29" i="8"/>
  <c r="O30" i="8"/>
  <c r="O28" i="8"/>
  <c r="J14" i="8"/>
  <c r="L17" i="8"/>
  <c r="AJ14" i="8"/>
  <c r="AL17" i="8"/>
  <c r="R28" i="8"/>
  <c r="F82" i="8"/>
  <c r="S29" i="8"/>
  <c r="G30" i="8" l="1"/>
  <c r="Q30" i="8"/>
  <c r="H30" i="8"/>
  <c r="E31" i="8"/>
  <c r="F31" i="8"/>
  <c r="O31" i="8"/>
  <c r="B32" i="8"/>
  <c r="C32" i="8"/>
  <c r="D32" i="8" s="1"/>
  <c r="J32" i="8" s="1"/>
  <c r="A33" i="8"/>
  <c r="J28" i="8"/>
  <c r="J29" i="8"/>
  <c r="J30" i="8"/>
  <c r="J31" i="8"/>
  <c r="R29" i="8"/>
  <c r="S30" i="8"/>
  <c r="G82" i="8"/>
  <c r="A34" i="8" l="1"/>
  <c r="C33" i="8"/>
  <c r="D33" i="8" s="1"/>
  <c r="B33" i="8"/>
  <c r="G31" i="8"/>
  <c r="E32" i="8"/>
  <c r="F32" i="8"/>
  <c r="O32" i="8"/>
  <c r="H31" i="8"/>
  <c r="Q31" i="8"/>
  <c r="R30" i="8"/>
  <c r="H82" i="8"/>
  <c r="S31" i="8"/>
  <c r="K32" i="8"/>
  <c r="P32" i="8"/>
  <c r="K30" i="8"/>
  <c r="P30" i="8"/>
  <c r="L30" i="8" s="1"/>
  <c r="K28" i="8"/>
  <c r="P28" i="8"/>
  <c r="L28" i="8" s="1"/>
  <c r="K31" i="8"/>
  <c r="P31" i="8"/>
  <c r="L31" i="8" s="1"/>
  <c r="K29" i="8"/>
  <c r="P29" i="8"/>
  <c r="L29" i="8" s="1"/>
  <c r="L32" i="8" l="1"/>
  <c r="G32" i="8"/>
  <c r="E33" i="8"/>
  <c r="F33" i="8"/>
  <c r="O33" i="8"/>
  <c r="J33" i="8"/>
  <c r="H32" i="8"/>
  <c r="Q32" i="8"/>
  <c r="A35" i="8"/>
  <c r="C34" i="8"/>
  <c r="D34" i="8" s="1"/>
  <c r="B34" i="8"/>
  <c r="R31" i="8"/>
  <c r="S32" i="8"/>
  <c r="I82" i="8"/>
  <c r="G33" i="8" l="1"/>
  <c r="Q33" i="8"/>
  <c r="H33" i="8"/>
  <c r="F34" i="8"/>
  <c r="E34" i="8"/>
  <c r="O34" i="8"/>
  <c r="J34" i="8"/>
  <c r="P34" i="8" s="1"/>
  <c r="L34" i="8" s="1"/>
  <c r="P33" i="8"/>
  <c r="L33" i="8" s="1"/>
  <c r="K33" i="8"/>
  <c r="B35" i="8"/>
  <c r="A36" i="8"/>
  <c r="C35" i="8"/>
  <c r="D35" i="8" s="1"/>
  <c r="R32" i="8"/>
  <c r="J82" i="8"/>
  <c r="S33" i="8"/>
  <c r="O35" i="8" l="1"/>
  <c r="F35" i="8"/>
  <c r="J35" i="8"/>
  <c r="K35" i="8" s="1"/>
  <c r="E35" i="8"/>
  <c r="C36" i="8"/>
  <c r="D36" i="8" s="1"/>
  <c r="A37" i="8"/>
  <c r="B36" i="8"/>
  <c r="G34" i="8"/>
  <c r="K34" i="8"/>
  <c r="Q34" i="8"/>
  <c r="H34" i="8"/>
  <c r="R33" i="8"/>
  <c r="S34" i="8"/>
  <c r="K82" i="8"/>
  <c r="G35" i="8" l="1"/>
  <c r="P35" i="8"/>
  <c r="L35" i="8" s="1"/>
  <c r="N35" i="8" s="1"/>
  <c r="N34" i="8" s="1"/>
  <c r="N33" i="8" s="1"/>
  <c r="N32" i="8" s="1"/>
  <c r="N31" i="8" s="1"/>
  <c r="N30" i="8" s="1"/>
  <c r="N29" i="8" s="1"/>
  <c r="N28" i="8" s="1"/>
  <c r="Q35" i="8"/>
  <c r="H35" i="8"/>
  <c r="C37" i="8"/>
  <c r="D37" i="8" s="1"/>
  <c r="A38" i="8"/>
  <c r="B37" i="8"/>
  <c r="J36" i="8"/>
  <c r="E36" i="8"/>
  <c r="O36" i="8"/>
  <c r="F36" i="8"/>
  <c r="G36" i="8" s="1"/>
  <c r="R34" i="8"/>
  <c r="L82" i="8"/>
  <c r="S35" i="8"/>
  <c r="K36" i="8" l="1"/>
  <c r="M35" i="8"/>
  <c r="M34" i="8" s="1"/>
  <c r="M33" i="8" s="1"/>
  <c r="M32" i="8" s="1"/>
  <c r="M31" i="8" s="1"/>
  <c r="M30" i="8" s="1"/>
  <c r="M29" i="8" s="1"/>
  <c r="M28" i="8" s="1"/>
  <c r="E37" i="8"/>
  <c r="F37" i="8"/>
  <c r="G37" i="8" s="1"/>
  <c r="O37" i="8"/>
  <c r="J37" i="8"/>
  <c r="P37" i="8" s="1"/>
  <c r="L37" i="8" s="1"/>
  <c r="H36" i="8"/>
  <c r="Q36" i="8"/>
  <c r="P36" i="8"/>
  <c r="L36" i="8" s="1"/>
  <c r="B38" i="8"/>
  <c r="C38" i="8"/>
  <c r="D38" i="8" s="1"/>
  <c r="A39" i="8"/>
  <c r="R35" i="8"/>
  <c r="S36" i="8"/>
  <c r="M82" i="8"/>
  <c r="N36" i="8" l="1"/>
  <c r="A40" i="8"/>
  <c r="B39" i="8"/>
  <c r="C39" i="8"/>
  <c r="D39" i="8" s="1"/>
  <c r="M36" i="8"/>
  <c r="J38" i="8"/>
  <c r="E38" i="8"/>
  <c r="F38" i="8"/>
  <c r="O38" i="8"/>
  <c r="Q37" i="8"/>
  <c r="H37" i="8"/>
  <c r="K37" i="8"/>
  <c r="M37" i="8" s="1"/>
  <c r="R36" i="8"/>
  <c r="N82" i="8"/>
  <c r="S37" i="8"/>
  <c r="N37" i="8" l="1"/>
  <c r="G38" i="8"/>
  <c r="O39" i="8"/>
  <c r="E39" i="8"/>
  <c r="F39" i="8"/>
  <c r="J39" i="8"/>
  <c r="Q38" i="8"/>
  <c r="H38" i="8"/>
  <c r="P38" i="8"/>
  <c r="L38" i="8" s="1"/>
  <c r="K38" i="8"/>
  <c r="C40" i="8"/>
  <c r="D40" i="8" s="1"/>
  <c r="B40" i="8"/>
  <c r="A41" i="8"/>
  <c r="R37" i="8"/>
  <c r="S38" i="8"/>
  <c r="C86" i="8"/>
  <c r="M38" i="8" l="1"/>
  <c r="K39" i="8"/>
  <c r="E40" i="8"/>
  <c r="F40" i="8"/>
  <c r="J40" i="8"/>
  <c r="O40" i="8"/>
  <c r="G39" i="8"/>
  <c r="H39" i="8"/>
  <c r="Q39" i="8"/>
  <c r="B41" i="8"/>
  <c r="C41" i="8"/>
  <c r="D41" i="8" s="1"/>
  <c r="A42" i="8"/>
  <c r="N38" i="8"/>
  <c r="P39" i="8"/>
  <c r="L39" i="8" s="1"/>
  <c r="N39" i="8" s="1"/>
  <c r="R38" i="8"/>
  <c r="S39" i="8"/>
  <c r="D86" i="8"/>
  <c r="G40" i="8" l="1"/>
  <c r="B42" i="8"/>
  <c r="A43" i="8"/>
  <c r="C42" i="8"/>
  <c r="D42" i="8" s="1"/>
  <c r="J41" i="8"/>
  <c r="F41" i="8"/>
  <c r="O41" i="8"/>
  <c r="H40" i="8"/>
  <c r="Q40" i="8"/>
  <c r="M39" i="8"/>
  <c r="E41" i="8"/>
  <c r="P40" i="8"/>
  <c r="L40" i="8" s="1"/>
  <c r="K40" i="8"/>
  <c r="R39" i="8"/>
  <c r="S40" i="8"/>
  <c r="E86" i="8"/>
  <c r="G41" i="8" l="1"/>
  <c r="N40" i="8"/>
  <c r="J42" i="8"/>
  <c r="P42" i="8" s="1"/>
  <c r="O42" i="8"/>
  <c r="M40" i="8"/>
  <c r="F42" i="8"/>
  <c r="K41" i="8"/>
  <c r="C43" i="8"/>
  <c r="D43" i="8" s="1"/>
  <c r="F43" i="8" s="1"/>
  <c r="B43" i="8"/>
  <c r="A44" i="8"/>
  <c r="Q41" i="8"/>
  <c r="H41" i="8"/>
  <c r="P41" i="8"/>
  <c r="L41" i="8" s="1"/>
  <c r="E42" i="8"/>
  <c r="R40" i="8"/>
  <c r="S41" i="8"/>
  <c r="F86" i="8"/>
  <c r="N41" i="8" l="1"/>
  <c r="M41" i="8"/>
  <c r="L42" i="8"/>
  <c r="Q42" i="8"/>
  <c r="H42" i="8"/>
  <c r="B44" i="8"/>
  <c r="C44" i="8"/>
  <c r="D44" i="8" s="1"/>
  <c r="E44" i="8" s="1"/>
  <c r="A45" i="8"/>
  <c r="G42" i="8"/>
  <c r="K42" i="8"/>
  <c r="M42" i="8" s="1"/>
  <c r="E43" i="8"/>
  <c r="O43" i="8"/>
  <c r="J43" i="8"/>
  <c r="P43" i="8" s="1"/>
  <c r="R41" i="8"/>
  <c r="S42" i="8"/>
  <c r="G86" i="8"/>
  <c r="N42" i="8" l="1"/>
  <c r="L43" i="8"/>
  <c r="H43" i="8"/>
  <c r="Q43" i="8"/>
  <c r="F44" i="8"/>
  <c r="G44" i="8" s="1"/>
  <c r="J44" i="8"/>
  <c r="O44" i="8"/>
  <c r="G43" i="8"/>
  <c r="K43" i="8"/>
  <c r="M43" i="8" s="1"/>
  <c r="H44" i="8"/>
  <c r="A46" i="8"/>
  <c r="B45" i="8"/>
  <c r="C45" i="8"/>
  <c r="D45" i="8" s="1"/>
  <c r="E45" i="8" s="1"/>
  <c r="R42" i="8"/>
  <c r="S43" i="8"/>
  <c r="H86" i="8"/>
  <c r="N43" i="8" l="1"/>
  <c r="Q44" i="8"/>
  <c r="K44" i="8"/>
  <c r="M44" i="8"/>
  <c r="O45" i="8"/>
  <c r="J45" i="8"/>
  <c r="P45" i="8" s="1"/>
  <c r="P44" i="8"/>
  <c r="L44" i="8" s="1"/>
  <c r="F45" i="8"/>
  <c r="G45" i="8" s="1"/>
  <c r="C46" i="8"/>
  <c r="D46" i="8" s="1"/>
  <c r="B46" i="8"/>
  <c r="A47" i="8"/>
  <c r="R43" i="8"/>
  <c r="S44" i="8"/>
  <c r="I86" i="8"/>
  <c r="N44" i="8" l="1"/>
  <c r="L45" i="8"/>
  <c r="O46" i="8"/>
  <c r="J46" i="8"/>
  <c r="P46" i="8" s="1"/>
  <c r="L46" i="8" s="1"/>
  <c r="K45" i="8"/>
  <c r="N45" i="8" s="1"/>
  <c r="F46" i="8"/>
  <c r="E46" i="8"/>
  <c r="H45" i="8"/>
  <c r="B47" i="8"/>
  <c r="C47" i="8"/>
  <c r="D47" i="8" s="1"/>
  <c r="A48" i="8"/>
  <c r="Q45" i="8"/>
  <c r="R44" i="8"/>
  <c r="S45" i="8"/>
  <c r="J86" i="8"/>
  <c r="M45" i="8" l="1"/>
  <c r="C48" i="8"/>
  <c r="D48" i="8" s="1"/>
  <c r="B48" i="8"/>
  <c r="A49" i="8"/>
  <c r="E48" i="8"/>
  <c r="F48" i="8"/>
  <c r="Q46" i="8"/>
  <c r="H46" i="8"/>
  <c r="F47" i="8"/>
  <c r="O47" i="8"/>
  <c r="J47" i="8"/>
  <c r="G46" i="8"/>
  <c r="K46" i="8"/>
  <c r="M46" i="8" s="1"/>
  <c r="E47" i="8"/>
  <c r="R45" i="8"/>
  <c r="S46" i="8"/>
  <c r="K86" i="8"/>
  <c r="N46" i="8" l="1"/>
  <c r="G48" i="8"/>
  <c r="Q47" i="8"/>
  <c r="H47" i="8"/>
  <c r="G47" i="8"/>
  <c r="Q48" i="8"/>
  <c r="H48" i="8"/>
  <c r="K47" i="8"/>
  <c r="B49" i="8"/>
  <c r="A50" i="8"/>
  <c r="C49" i="8"/>
  <c r="D49" i="8" s="1"/>
  <c r="F49" i="8" s="1"/>
  <c r="P47" i="8"/>
  <c r="L47" i="8" s="1"/>
  <c r="O48" i="8"/>
  <c r="J48" i="8"/>
  <c r="R46" i="8"/>
  <c r="S47" i="8"/>
  <c r="L86" i="8"/>
  <c r="N47" i="8" l="1"/>
  <c r="M47" i="8"/>
  <c r="K48" i="8"/>
  <c r="E49" i="8"/>
  <c r="O49" i="8"/>
  <c r="J49" i="8"/>
  <c r="P49" i="8" s="1"/>
  <c r="L49" i="8" s="1"/>
  <c r="P48" i="8"/>
  <c r="L48" i="8" s="1"/>
  <c r="M48" i="8" s="1"/>
  <c r="B50" i="8"/>
  <c r="A51" i="8"/>
  <c r="C50" i="8"/>
  <c r="D50" i="8" s="1"/>
  <c r="F50" i="8"/>
  <c r="R47" i="8"/>
  <c r="S48" i="8"/>
  <c r="M86" i="8"/>
  <c r="N48" i="8" l="1"/>
  <c r="O50" i="8"/>
  <c r="J50" i="8"/>
  <c r="A52" i="8"/>
  <c r="C51" i="8"/>
  <c r="D51" i="8" s="1"/>
  <c r="F51" i="8" s="1"/>
  <c r="B51" i="8"/>
  <c r="K49" i="8"/>
  <c r="N49" i="8" s="1"/>
  <c r="E50" i="8"/>
  <c r="G50" i="8" s="1"/>
  <c r="H49" i="8"/>
  <c r="Q49" i="8"/>
  <c r="G49" i="8"/>
  <c r="R48" i="8"/>
  <c r="S49" i="8"/>
  <c r="N86" i="8"/>
  <c r="M49" i="8" l="1"/>
  <c r="K50" i="8"/>
  <c r="O51" i="8"/>
  <c r="J51" i="8"/>
  <c r="P51" i="8" s="1"/>
  <c r="L51" i="8" s="1"/>
  <c r="Q50" i="8"/>
  <c r="H50" i="8"/>
  <c r="E51" i="8"/>
  <c r="C52" i="8"/>
  <c r="D52" i="8" s="1"/>
  <c r="E52" i="8" s="1"/>
  <c r="A53" i="8"/>
  <c r="B52" i="8"/>
  <c r="P50" i="8"/>
  <c r="L50" i="8" s="1"/>
  <c r="M50" i="8" s="1"/>
  <c r="R49" i="8"/>
  <c r="S50" i="8"/>
  <c r="C90" i="8"/>
  <c r="N50" i="8" l="1"/>
  <c r="A54" i="8"/>
  <c r="B53" i="8"/>
  <c r="C53" i="8"/>
  <c r="D53" i="8" s="1"/>
  <c r="F53" i="8" s="1"/>
  <c r="O52" i="8"/>
  <c r="J52" i="8"/>
  <c r="P52" i="8" s="1"/>
  <c r="L52" i="8" s="1"/>
  <c r="F52" i="8"/>
  <c r="G52" i="8" s="1"/>
  <c r="Q51" i="8"/>
  <c r="H51" i="8"/>
  <c r="K51" i="8"/>
  <c r="M51" i="8" s="1"/>
  <c r="G51" i="8"/>
  <c r="R50" i="8"/>
  <c r="D90" i="8"/>
  <c r="S51" i="8"/>
  <c r="E53" i="8" l="1"/>
  <c r="N51" i="8"/>
  <c r="G53" i="8"/>
  <c r="C54" i="8"/>
  <c r="D54" i="8" s="1"/>
  <c r="E54" i="8" s="1"/>
  <c r="A55" i="8"/>
  <c r="B54" i="8"/>
  <c r="Q53" i="8"/>
  <c r="H53" i="8"/>
  <c r="O53" i="8"/>
  <c r="J53" i="8"/>
  <c r="P53" i="8" s="1"/>
  <c r="L53" i="8" s="1"/>
  <c r="Q52" i="8"/>
  <c r="K52" i="8"/>
  <c r="M52" i="8" s="1"/>
  <c r="H52" i="8"/>
  <c r="R51" i="8"/>
  <c r="S52" i="8"/>
  <c r="E90" i="8"/>
  <c r="F54" i="8" l="1"/>
  <c r="G54" i="8" s="1"/>
  <c r="N52" i="8"/>
  <c r="Q54" i="8"/>
  <c r="H54" i="8"/>
  <c r="A56" i="8"/>
  <c r="B55" i="8"/>
  <c r="C55" i="8"/>
  <c r="D55" i="8" s="1"/>
  <c r="E55" i="8" s="1"/>
  <c r="K53" i="8"/>
  <c r="M53" i="8" s="1"/>
  <c r="O54" i="8"/>
  <c r="J54" i="8"/>
  <c r="P54" i="8" s="1"/>
  <c r="R52" i="8"/>
  <c r="F90" i="8"/>
  <c r="S53" i="8"/>
  <c r="N53" i="8" l="1"/>
  <c r="L54" i="8"/>
  <c r="A57" i="8"/>
  <c r="C56" i="8"/>
  <c r="D56" i="8" s="1"/>
  <c r="E56" i="8" s="1"/>
  <c r="B56" i="8"/>
  <c r="K54" i="8"/>
  <c r="M54" i="8" s="1"/>
  <c r="F55" i="8"/>
  <c r="G55" i="8" s="1"/>
  <c r="J55" i="8"/>
  <c r="P55" i="8" s="1"/>
  <c r="O55" i="8"/>
  <c r="R53" i="8"/>
  <c r="S54" i="8"/>
  <c r="G90" i="8"/>
  <c r="L55" i="8" l="1"/>
  <c r="N54" i="8"/>
  <c r="K55" i="8"/>
  <c r="M55" i="8" s="1"/>
  <c r="H55" i="8"/>
  <c r="O56" i="8"/>
  <c r="J56" i="8"/>
  <c r="Q55" i="8"/>
  <c r="F56" i="8"/>
  <c r="G56" i="8" s="1"/>
  <c r="B57" i="8"/>
  <c r="A58" i="8"/>
  <c r="C57" i="8"/>
  <c r="D57" i="8" s="1"/>
  <c r="E57" i="8" s="1"/>
  <c r="F57" i="8"/>
  <c r="R54" i="8"/>
  <c r="H90" i="8"/>
  <c r="S55" i="8"/>
  <c r="G57" i="8" l="1"/>
  <c r="N55" i="8"/>
  <c r="H57" i="8"/>
  <c r="Q57" i="8"/>
  <c r="K56" i="8"/>
  <c r="M56" i="8" s="1"/>
  <c r="O57" i="8"/>
  <c r="J57" i="8"/>
  <c r="P57" i="8" s="1"/>
  <c r="H56" i="8"/>
  <c r="C58" i="8"/>
  <c r="D58" i="8" s="1"/>
  <c r="F58" i="8" s="1"/>
  <c r="B58" i="8"/>
  <c r="P56" i="8"/>
  <c r="L56" i="8" s="1"/>
  <c r="N56" i="8" s="1"/>
  <c r="Q56" i="8"/>
  <c r="R55" i="8"/>
  <c r="S56" i="8"/>
  <c r="I90" i="8"/>
  <c r="E58" i="8" l="1"/>
  <c r="G58" i="8" s="1"/>
  <c r="L57" i="8"/>
  <c r="H58" i="8"/>
  <c r="Q58" i="8"/>
  <c r="K57" i="8"/>
  <c r="M57" i="8" s="1"/>
  <c r="O58" i="8"/>
  <c r="J58" i="8"/>
  <c r="R56" i="8"/>
  <c r="J90" i="8"/>
  <c r="S57" i="8"/>
  <c r="N57" i="8" l="1"/>
  <c r="K58" i="8"/>
  <c r="P58" i="8"/>
  <c r="L58" i="8" s="1"/>
  <c r="M58" i="8" s="1"/>
  <c r="R57" i="8"/>
  <c r="S58" i="8"/>
  <c r="K90" i="8"/>
  <c r="N58" i="8" l="1"/>
  <c r="R58" i="8"/>
  <c r="L90" i="8"/>
  <c r="S59" i="8"/>
  <c r="R59" i="8" l="1"/>
  <c r="S60" i="8"/>
  <c r="M90" i="8"/>
  <c r="S61" i="8" l="1"/>
  <c r="R61" i="8" s="1"/>
  <c r="N90" i="8"/>
  <c r="R60" i="8"/>
</calcChain>
</file>

<file path=xl/comments1.xml><?xml version="1.0" encoding="utf-8"?>
<comments xmlns="http://schemas.openxmlformats.org/spreadsheetml/2006/main">
  <authors>
    <author>Son</author>
  </authors>
  <commentList>
    <comment ref="C8" authorId="0" shapeId="0">
      <text>
        <r>
          <rPr>
            <sz val="11"/>
            <color indexed="81"/>
            <rFont val="Arial"/>
            <family val="2"/>
          </rPr>
          <t xml:space="preserve">Der Zonenmeridian ist fast immer durch 15 teilbar und weniger als 15 Längengrade vom lokalen Meridian entfernt!
</t>
        </r>
      </text>
    </comment>
    <comment ref="C9" authorId="0" shape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shape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shape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shape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shape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shapeId="0">
      <text>
        <r>
          <rPr>
            <sz val="11"/>
            <color indexed="81"/>
            <rFont val="Arial"/>
            <family val="2"/>
          </rPr>
          <t xml:space="preserve">Fußpunkt des Zeigers auf der N-S-Achse.
</t>
        </r>
        <r>
          <rPr>
            <sz val="11"/>
            <color indexed="36"/>
            <rFont val="Arial"/>
            <family val="2"/>
          </rPr>
          <t>Basic point on N-S-axis for gnomon .</t>
        </r>
      </text>
    </comment>
    <comment ref="D18" authorId="0" shape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shape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shape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shape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family val="2"/>
          </rPr>
          <t>r.</t>
        </r>
        <r>
          <rPr>
            <sz val="8"/>
            <color indexed="81"/>
            <rFont val="Tahoma"/>
            <family val="2"/>
          </rPr>
          <t xml:space="preserve">
</t>
        </r>
      </text>
    </comment>
  </commentList>
</comments>
</file>

<file path=xl/comments3.xml><?xml version="1.0" encoding="utf-8"?>
<comments xmlns="http://schemas.openxmlformats.org/spreadsheetml/2006/main">
  <authors>
    <author>Son</author>
  </authors>
  <commentList>
    <comment ref="A1" authorId="0" shape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shape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sharedStrings.xml><?xml version="1.0" encoding="utf-8"?>
<sst xmlns="http://schemas.openxmlformats.org/spreadsheetml/2006/main" count="91" uniqueCount="69">
  <si>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</si>
  <si>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</si>
  <si>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</si>
  <si>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</si>
  <si>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</si>
  <si>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</si>
  <si>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</si>
  <si>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</si>
  <si>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</si>
  <si>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</si>
  <si>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</si>
  <si>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</si>
  <si>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</si>
  <si>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</si>
  <si>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</si>
  <si>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</si>
  <si>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</si>
  <si>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</si>
  <si>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</si>
  <si>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</si>
  <si>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</si>
  <si>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</si>
  <si>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</si>
  <si>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</si>
  <si>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</si>
  <si>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</si>
  <si>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</si>
  <si>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</si>
  <si>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</si>
  <si>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</si>
  <si>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</si>
  <si>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</si>
  <si>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</si>
  <si>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</si>
  <si>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</si>
  <si>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</si>
  <si>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</si>
  <si>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</si>
  <si>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</si>
  <si>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</si>
  <si>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</si>
  <si>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</si>
  <si>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</si>
  <si>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</si>
  <si>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</si>
  <si>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</si>
  <si>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</si>
  <si>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</si>
  <si>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</si>
  <si>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</si>
  <si>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</si>
  <si>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</si>
  <si>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</si>
  <si>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</si>
  <si>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</si>
  <si>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</si>
  <si>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</si>
  <si>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</si>
  <si>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</si>
  <si>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</si>
  <si>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</si>
  <si>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</si>
  <si>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</si>
  <si>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of Hour Points</t>
  </si>
  <si>
    <t>Coordinates analemma</t>
  </si>
  <si>
    <t>Time</t>
  </si>
  <si>
    <t xml:space="preserve"> x   ( O/W )</t>
  </si>
  <si>
    <t xml:space="preserve"> Z</t>
  </si>
  <si>
    <t>Mumbai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</si>
</sst>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 numFmtId="177" formatCode="0.00_)"/>
  </numFmts>
  <fonts count="68" x14ac:knownFonts="1">
    <font>
      <sz val="12"/>
      <name val="Courier"/>
    </font>
    <font>
      <sz val="10"/>
      <name val="Arial"/>
      <family val="2"/>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amily val="2"/>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amily val="2"/>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amily val="2"/>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
      <sz val="10"/>
      <name val="Courier"/>
      <family val="3"/>
    </font>
    <font>
      <sz val="14"/>
      <name val="Courier"/>
      <family val="3"/>
    </font>
    <font>
      <sz val="9"/>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92">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24" xfId="0" applyBorder="1" applyAlignment="1">
      <alignment horizontal="center"/>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xf numFmtId="164" fontId="65" fillId="0" borderId="0" xfId="0" applyFont="1"/>
    <xf numFmtId="164" fontId="0" fillId="0" borderId="0" xfId="0" applyFill="1" applyBorder="1" applyProtection="1"/>
    <xf numFmtId="16" fontId="0" fillId="0" borderId="0" xfId="0" applyNumberFormat="1" applyFill="1" applyBorder="1" applyAlignment="1" applyProtection="1">
      <alignment horizontal="center"/>
      <protection locked="0"/>
    </xf>
    <xf numFmtId="177" fontId="7" fillId="0" borderId="0" xfId="0" applyNumberFormat="1" applyFont="1" applyBorder="1"/>
    <xf numFmtId="164" fontId="0" fillId="0" borderId="0" xfId="0" applyFill="1" applyBorder="1" applyAlignment="1" applyProtection="1">
      <alignment horizontal="center"/>
    </xf>
    <xf numFmtId="164" fontId="0" fillId="0" borderId="0" xfId="0" applyFill="1" applyBorder="1" applyAlignment="1" applyProtection="1"/>
    <xf numFmtId="164" fontId="0" fillId="0" borderId="0" xfId="0" applyFill="1" applyBorder="1" applyAlignment="1">
      <alignment horizontal="center"/>
    </xf>
    <xf numFmtId="164" fontId="66" fillId="0" borderId="0" xfId="0" applyFont="1"/>
    <xf numFmtId="164" fontId="67" fillId="0" borderId="0" xfId="0" applyFont="1"/>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DATA!$B$4</c:f>
          <c:strCache>
            <c:ptCount val="1"/>
            <c:pt idx="0">
              <c:v>Analemmatic Sundial, v. 2.2b</c:v>
            </c:pt>
          </c:strCache>
        </c:strRef>
      </c:tx>
      <c:layout>
        <c:manualLayout>
          <c:xMode val="edge"/>
          <c:yMode val="edge"/>
          <c:x val="0.31767337807606277"/>
          <c:y val="4.0584415584415577E-2"/>
        </c:manualLayout>
      </c:layout>
      <c:overlay val="0"/>
      <c:spPr>
        <a:noFill/>
        <a:ln w="25400">
          <a:noFill/>
        </a:ln>
      </c:spPr>
      <c:txPr>
        <a:bodyPr/>
        <a:lstStyle/>
        <a:p>
          <a:pPr>
            <a:defRPr sz="16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6.7114093959731612E-3"/>
          <c:y val="9.5779220779220797E-2"/>
          <c:w val="0.97874720357941891"/>
          <c:h val="0.8782467532467535"/>
        </c:manualLayout>
      </c:layout>
      <c:scatterChart>
        <c:scatterStyle val="smoothMarker"/>
        <c:varyColors val="0"/>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-1.8177595370751236</c:v>
                </c:pt>
                <c:pt idx="1">
                  <c:v>-1.9717061079871852</c:v>
                </c:pt>
                <c:pt idx="2">
                  <c:v>-1.9912841660383258</c:v>
                </c:pt>
                <c:pt idx="3">
                  <c:v>-1.8751594989266311</c:v>
                </c:pt>
                <c:pt idx="4">
                  <c:v>-1.6312458108106771</c:v>
                </c:pt>
                <c:pt idx="5">
                  <c:v>-1.2761654164491378</c:v>
                </c:pt>
                <c:pt idx="6">
                  <c:v>-0.8341164579196555</c:v>
                </c:pt>
                <c:pt idx="7">
                  <c:v>-0.33522384122557031</c:v>
                </c:pt>
                <c:pt idx="8">
                  <c:v>0.18651372626444648</c:v>
                </c:pt>
                <c:pt idx="9">
                  <c:v>0.69554069153804754</c:v>
                </c:pt>
                <c:pt idx="10">
                  <c:v>1.1571677081186704</c:v>
                </c:pt>
                <c:pt idx="11">
                  <c:v>1.539935657701061</c:v>
                </c:pt>
                <c:pt idx="12">
                  <c:v>1.8177595370751236</c:v>
                </c:pt>
                <c:pt idx="13">
                  <c:v>1.9717061079871852</c:v>
                </c:pt>
                <c:pt idx="14">
                  <c:v>1.991284166038326</c:v>
                </c:pt>
                <c:pt idx="15">
                  <c:v>1.8751594989266311</c:v>
                </c:pt>
                <c:pt idx="16">
                  <c:v>1.8751594989266311</c:v>
                </c:pt>
                <c:pt idx="17">
                  <c:v>1.8751594989266311</c:v>
                </c:pt>
                <c:pt idx="18">
                  <c:v>1.8751594989266311</c:v>
                </c:pt>
                <c:pt idx="19">
                  <c:v>1.8751594989266311</c:v>
                </c:pt>
                <c:pt idx="20">
                  <c:v>1.8751594989266311</c:v>
                </c:pt>
                <c:pt idx="21">
                  <c:v>1.8751594989266311</c:v>
                </c:pt>
                <c:pt idx="22">
                  <c:v>1.8751594989266311</c:v>
                </c:pt>
                <c:pt idx="23">
                  <c:v>1.8751594989266311</c:v>
                </c:pt>
                <c:pt idx="24">
                  <c:v>1.8751594989266311</c:v>
                </c:pt>
                <c:pt idx="25">
                  <c:v>1.8751594989266311</c:v>
                </c:pt>
                <c:pt idx="26">
                  <c:v>1.8751594989266311</c:v>
                </c:pt>
                <c:pt idx="27">
                  <c:v>1.8751594989266311</c:v>
                </c:pt>
                <c:pt idx="28">
                  <c:v>1.8751594989266311</c:v>
                </c:pt>
                <c:pt idx="29">
                  <c:v>1.8751594989266311</c:v>
                </c:pt>
                <c:pt idx="30">
                  <c:v>1.8751594989266311</c:v>
                </c:pt>
              </c:numCache>
            </c:numRef>
          </c:xVal>
          <c:yVal>
            <c:numRef>
              <c:f>DATA!$F$28:$F$58</c:f>
              <c:numCache>
                <c:formatCode>0.000_)</c:formatCode>
                <c:ptCount val="31"/>
                <c:pt idx="0">
                  <c:v>-0.27322670597515197</c:v>
                </c:pt>
                <c:pt idx="1">
                  <c:v>-0.10980733569367157</c:v>
                </c:pt>
                <c:pt idx="2">
                  <c:v>6.1095223050130203E-2</c:v>
                </c:pt>
                <c:pt idx="3">
                  <c:v>0.22783424330769561</c:v>
                </c:pt>
                <c:pt idx="4">
                  <c:v>0.37904673639773068</c:v>
                </c:pt>
                <c:pt idx="5">
                  <c:v>0.50442782080660975</c:v>
                </c:pt>
                <c:pt idx="6">
                  <c:v>0.59543298283390655</c:v>
                </c:pt>
                <c:pt idx="7">
                  <c:v>0.64586037108060179</c:v>
                </c:pt>
                <c:pt idx="8">
                  <c:v>0.65227344237288254</c:v>
                </c:pt>
                <c:pt idx="9">
                  <c:v>0.61423515650028138</c:v>
                </c:pt>
                <c:pt idx="10">
                  <c:v>0.53433775978377629</c:v>
                </c:pt>
                <c:pt idx="11">
                  <c:v>0.41802612777290626</c:v>
                </c:pt>
                <c:pt idx="12">
                  <c:v>0.27322670597515192</c:v>
                </c:pt>
                <c:pt idx="13">
                  <c:v>0.10980733569367165</c:v>
                </c:pt>
                <c:pt idx="14">
                  <c:v>-6.1095223050130119E-2</c:v>
                </c:pt>
                <c:pt idx="15">
                  <c:v>-0.22783424330769556</c:v>
                </c:pt>
                <c:pt idx="16">
                  <c:v>-0.22783424330769556</c:v>
                </c:pt>
                <c:pt idx="17">
                  <c:v>-0.22783424330769556</c:v>
                </c:pt>
                <c:pt idx="18">
                  <c:v>-0.22783424330769556</c:v>
                </c:pt>
                <c:pt idx="19">
                  <c:v>-0.22783424330769556</c:v>
                </c:pt>
                <c:pt idx="20">
                  <c:v>-0.22783424330769556</c:v>
                </c:pt>
                <c:pt idx="21">
                  <c:v>-0.22783424330769556</c:v>
                </c:pt>
                <c:pt idx="22">
                  <c:v>-0.22783424330769556</c:v>
                </c:pt>
                <c:pt idx="23">
                  <c:v>-0.22783424330769556</c:v>
                </c:pt>
                <c:pt idx="24">
                  <c:v>-0.22783424330769556</c:v>
                </c:pt>
                <c:pt idx="25">
                  <c:v>-0.22783424330769556</c:v>
                </c:pt>
                <c:pt idx="26">
                  <c:v>-0.22783424330769556</c:v>
                </c:pt>
                <c:pt idx="27">
                  <c:v>-0.22783424330769556</c:v>
                </c:pt>
                <c:pt idx="28">
                  <c:v>-0.22783424330769556</c:v>
                </c:pt>
                <c:pt idx="29">
                  <c:v>-0.22783424330769556</c:v>
                </c:pt>
                <c:pt idx="30">
                  <c:v>-0.22783424330769556</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bubble3D val="0"/>
            <c:spPr>
              <a:ln w="25400">
                <a:solidFill>
                  <a:srgbClr val="993366"/>
                </a:solidFill>
                <a:prstDash val="solid"/>
              </a:ln>
            </c:spPr>
          </c:dPt>
          <c:dPt>
            <c:idx val="10"/>
            <c:marker>
              <c:spPr>
                <a:solidFill>
                  <a:srgbClr val="FFFF00"/>
                </a:solidFill>
                <a:ln>
                  <a:solidFill>
                    <a:srgbClr val="800000"/>
                  </a:solidFill>
                  <a:prstDash val="solid"/>
                </a:ln>
              </c:spPr>
            </c:marker>
            <c:bubble3D val="0"/>
            <c:spPr>
              <a:ln w="25400">
                <a:solidFill>
                  <a:srgbClr val="800000"/>
                </a:solidFill>
                <a:prstDash val="solid"/>
              </a:ln>
            </c:spPr>
          </c:dPt>
          <c:dPt>
            <c:idx val="11"/>
            <c:marker>
              <c:spPr>
                <a:solidFill>
                  <a:srgbClr val="FFFF00"/>
                </a:solidFill>
                <a:ln>
                  <a:solidFill>
                    <a:srgbClr val="993300"/>
                  </a:solidFill>
                  <a:prstDash val="solid"/>
                </a:ln>
              </c:spPr>
            </c:marker>
            <c:bubble3D val="0"/>
            <c:spPr>
              <a:ln w="25400">
                <a:solidFill>
                  <a:srgbClr val="993300"/>
                </a:solidFill>
                <a:prstDash val="solid"/>
              </a:ln>
            </c:spPr>
          </c:dPt>
          <c:dPt>
            <c:idx val="12"/>
            <c:marker>
              <c:spPr>
                <a:solidFill>
                  <a:srgbClr val="FFFF00"/>
                </a:solidFill>
                <a:ln>
                  <a:solidFill>
                    <a:srgbClr val="993300"/>
                  </a:solidFill>
                  <a:prstDash val="solid"/>
                </a:ln>
              </c:spPr>
            </c:marker>
            <c:bubble3D val="0"/>
            <c:spPr>
              <a:ln w="25400">
                <a:solidFill>
                  <a:srgbClr val="993300"/>
                </a:solidFill>
                <a:prstDash val="solid"/>
              </a:ln>
            </c:spPr>
          </c:dPt>
          <c:dPt>
            <c:idx val="13"/>
            <c:marker>
              <c:spPr>
                <a:solidFill>
                  <a:srgbClr val="FFFF00"/>
                </a:solidFill>
                <a:ln>
                  <a:solidFill>
                    <a:srgbClr val="993300"/>
                  </a:solidFill>
                  <a:prstDash val="solid"/>
                </a:ln>
              </c:spPr>
            </c:marker>
            <c:bubble3D val="0"/>
            <c:spPr>
              <a:ln w="25400">
                <a:solidFill>
                  <a:srgbClr val="993300"/>
                </a:solidFill>
                <a:prstDash val="solid"/>
              </a:ln>
            </c:spPr>
          </c:dPt>
          <c:dPt>
            <c:idx val="14"/>
            <c:marker>
              <c:spPr>
                <a:solidFill>
                  <a:srgbClr val="FFFF00"/>
                </a:solidFill>
                <a:ln>
                  <a:solidFill>
                    <a:srgbClr val="993300"/>
                  </a:solidFill>
                  <a:prstDash val="solid"/>
                </a:ln>
              </c:spPr>
            </c:marker>
            <c:bubble3D val="0"/>
            <c:spPr>
              <a:ln w="25400">
                <a:solidFill>
                  <a:srgbClr val="993300"/>
                </a:solidFill>
                <a:prstDash val="solid"/>
              </a:ln>
            </c:spPr>
          </c:dPt>
          <c:dPt>
            <c:idx val="15"/>
            <c:marker>
              <c:spPr>
                <a:solidFill>
                  <a:srgbClr val="FFFF00"/>
                </a:solidFill>
                <a:ln>
                  <a:solidFill>
                    <a:srgbClr val="993300"/>
                  </a:solidFill>
                  <a:prstDash val="solid"/>
                </a:ln>
              </c:spPr>
            </c:marker>
            <c:bubble3D val="0"/>
            <c:spPr>
              <a:ln w="25400">
                <a:solidFill>
                  <a:srgbClr val="993300"/>
                </a:solidFill>
                <a:prstDash val="solid"/>
              </a:ln>
            </c:spPr>
          </c:dPt>
          <c:dLbls>
            <c:delete val="1"/>
          </c:dLbls>
          <c:errBars>
            <c:errDir val="x"/>
            <c:errBarType val="minus"/>
            <c:errValType val="percentage"/>
            <c:noEndCap val="0"/>
            <c:val val="100"/>
            <c:spPr>
              <a:ln w="12700">
                <a:solidFill>
                  <a:srgbClr val="800080"/>
                </a:solidFill>
                <a:prstDash val="solid"/>
              </a:ln>
            </c:spPr>
          </c:errBars>
          <c:xVal>
            <c:numRef>
              <c:f>DATA!$F$63:$F$79</c:f>
              <c:numCache>
                <c:formatCode>0.000_)</c:formatCode>
                <c:ptCount val="17"/>
                <c:pt idx="0">
                  <c:v>3.0863751906327962E-2</c:v>
                </c:pt>
                <c:pt idx="1">
                  <c:v>0.11971131020038227</c:v>
                </c:pt>
                <c:pt idx="2">
                  <c:v>0.10799173005763243</c:v>
                </c:pt>
                <c:pt idx="3">
                  <c:v>6.3137472645378639E-2</c:v>
                </c:pt>
                <c:pt idx="4">
                  <c:v>3.4270213419667184E-2</c:v>
                </c:pt>
                <c:pt idx="5">
                  <c:v>-2.5317259552383196E-2</c:v>
                </c:pt>
                <c:pt idx="6">
                  <c:v>-1.9260451791052971E-2</c:v>
                </c:pt>
                <c:pt idx="7">
                  <c:v>1.5089362101401018E-2</c:v>
                </c:pt>
                <c:pt idx="8">
                  <c:v>3.3244298463397763E-2</c:v>
                </c:pt>
                <c:pt idx="9">
                  <c:v>5.5257694241718565E-2</c:v>
                </c:pt>
                <c:pt idx="10">
                  <c:v>2.7030736410430694E-4</c:v>
                </c:pt>
                <c:pt idx="11">
                  <c:v>-6.3177541191315051E-2</c:v>
                </c:pt>
                <c:pt idx="12">
                  <c:v>-8.9821292144996248E-2</c:v>
                </c:pt>
                <c:pt idx="13">
                  <c:v>-0.14316497060970421</c:v>
                </c:pt>
                <c:pt idx="14">
                  <c:v>-9.6025857875305404E-2</c:v>
                </c:pt>
                <c:pt idx="15">
                  <c:v>-1.7194251276516373E-2</c:v>
                </c:pt>
                <c:pt idx="16">
                  <c:v>3.0863751906327962E-2</c:v>
                </c:pt>
              </c:numCache>
            </c:numRef>
          </c:xVal>
          <c:yVal>
            <c:numRef>
              <c:f>DATA!$G$63:$G$79</c:f>
              <c:numCache>
                <c:formatCode>0.000_)</c:formatCode>
                <c:ptCount val="17"/>
                <c:pt idx="0">
                  <c:v>-0.80178655017256195</c:v>
                </c:pt>
                <c:pt idx="1">
                  <c:v>-0.56975575394743494</c:v>
                </c:pt>
                <c:pt idx="2">
                  <c:v>-0.25022186189013279</c:v>
                </c:pt>
                <c:pt idx="3">
                  <c:v>9.1942427697755714E-3</c:v>
                </c:pt>
                <c:pt idx="4">
                  <c:v>0.15150508696479545</c:v>
                </c:pt>
                <c:pt idx="5">
                  <c:v>0.51024864759936084</c:v>
                </c:pt>
                <c:pt idx="6">
                  <c:v>0.76610395845103185</c:v>
                </c:pt>
                <c:pt idx="7">
                  <c:v>0.81925434587458745</c:v>
                </c:pt>
                <c:pt idx="8">
                  <c:v>0.80599085106427326</c:v>
                </c:pt>
                <c:pt idx="9">
                  <c:v>0.61352004271574334</c:v>
                </c:pt>
                <c:pt idx="10">
                  <c:v>0.27361830298174616</c:v>
                </c:pt>
                <c:pt idx="11">
                  <c:v>9.0177294748923376E-3</c:v>
                </c:pt>
                <c:pt idx="12">
                  <c:v>-0.10659086200465044</c:v>
                </c:pt>
                <c:pt idx="13">
                  <c:v>-0.48737032177818446</c:v>
                </c:pt>
                <c:pt idx="14">
                  <c:v>-0.75646555733424459</c:v>
                </c:pt>
                <c:pt idx="15">
                  <c:v>-0.81920644175339763</c:v>
                </c:pt>
                <c:pt idx="16" formatCode="0.00">
                  <c:v>-0.80178655017256195</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-10.066851788598461</c:v>
                </c:pt>
                <c:pt idx="1">
                  <c:v>-10.066851788598461</c:v>
                </c:pt>
                <c:pt idx="2">
                  <c:v>-10.066851788598461</c:v>
                </c:pt>
                <c:pt idx="3">
                  <c:v>-4.2784729915113591</c:v>
                </c:pt>
                <c:pt idx="4">
                  <c:v>-2.4853025922041825</c:v>
                </c:pt>
                <c:pt idx="5">
                  <c:v>-1.5243581539830786</c:v>
                </c:pt>
                <c:pt idx="6">
                  <c:v>-0.86130781271640033</c:v>
                </c:pt>
                <c:pt idx="7">
                  <c:v>-0.3219725025902524</c:v>
                </c:pt>
                <c:pt idx="8">
                  <c:v>0.17756351345146992</c:v>
                </c:pt>
                <c:pt idx="9">
                  <c:v>0.69865198013780105</c:v>
                </c:pt>
                <c:pt idx="10">
                  <c:v>1.3144877390876599</c:v>
                </c:pt>
                <c:pt idx="11">
                  <c:v>2.1610909950982125</c:v>
                </c:pt>
                <c:pt idx="12">
                  <c:v>3.6085062179741758</c:v>
                </c:pt>
                <c:pt idx="13">
                  <c:v>7.3554969818906697</c:v>
                </c:pt>
                <c:pt idx="14">
                  <c:v>7.3554969818906697</c:v>
                </c:pt>
                <c:pt idx="15">
                  <c:v>7.3554969818906697</c:v>
                </c:pt>
                <c:pt idx="16">
                  <c:v>7.3554969818906697</c:v>
                </c:pt>
                <c:pt idx="17">
                  <c:v>7.3554969818906697</c:v>
                </c:pt>
                <c:pt idx="18">
                  <c:v>7.3554969818906697</c:v>
                </c:pt>
                <c:pt idx="19">
                  <c:v>7.3554969818906697</c:v>
                </c:pt>
                <c:pt idx="20">
                  <c:v>7.3554969818906697</c:v>
                </c:pt>
                <c:pt idx="21">
                  <c:v>7.3554969818906697</c:v>
                </c:pt>
                <c:pt idx="22">
                  <c:v>7.3554969818906697</c:v>
                </c:pt>
                <c:pt idx="23">
                  <c:v>7.3554969818906697</c:v>
                </c:pt>
                <c:pt idx="24">
                  <c:v>7.3554969818906697</c:v>
                </c:pt>
                <c:pt idx="25">
                  <c:v>7.3554969818906697</c:v>
                </c:pt>
                <c:pt idx="26">
                  <c:v>7.3554969818906697</c:v>
                </c:pt>
                <c:pt idx="27">
                  <c:v>7.3554969818906697</c:v>
                </c:pt>
                <c:pt idx="28">
                  <c:v>7.3554969818906697</c:v>
                </c:pt>
                <c:pt idx="29">
                  <c:v>7.3554969818906697</c:v>
                </c:pt>
                <c:pt idx="30">
                  <c:v>7.3554969818906697</c:v>
                </c:pt>
              </c:numCache>
            </c:numRef>
          </c:xVal>
          <c:yVal>
            <c:numRef>
              <c:f>DATA!$N$28:$N$58</c:f>
              <c:numCache>
                <c:formatCode>0.000_)</c:formatCode>
                <c:ptCount val="31"/>
                <c:pt idx="0">
                  <c:v>-2.2574536797819023</c:v>
                </c:pt>
                <c:pt idx="1">
                  <c:v>-2.2574536797819023</c:v>
                </c:pt>
                <c:pt idx="2">
                  <c:v>-2.2574536797819023</c:v>
                </c:pt>
                <c:pt idx="3">
                  <c:v>-0.29120122513212787</c:v>
                </c:pt>
                <c:pt idx="4">
                  <c:v>0.24618822405640672</c:v>
                </c:pt>
                <c:pt idx="5">
                  <c:v>0.4794604050009712</c:v>
                </c:pt>
                <c:pt idx="6">
                  <c:v>0.59421465744921287</c:v>
                </c:pt>
                <c:pt idx="7">
                  <c:v>0.64534433744254338</c:v>
                </c:pt>
                <c:pt idx="8">
                  <c:v>0.65133926447851198</c:v>
                </c:pt>
                <c:pt idx="9">
                  <c:v>0.61415208513462283</c:v>
                </c:pt>
                <c:pt idx="10">
                  <c:v>0.52095072892282213</c:v>
                </c:pt>
                <c:pt idx="11">
                  <c:v>0.33139152357510404</c:v>
                </c:pt>
                <c:pt idx="12">
                  <c:v>-8.1009134705701147E-2</c:v>
                </c:pt>
                <c:pt idx="13">
                  <c:v>-1.318253305265872</c:v>
                </c:pt>
                <c:pt idx="14">
                  <c:v>-1.318253305265872</c:v>
                </c:pt>
                <c:pt idx="15">
                  <c:v>-1.318253305265872</c:v>
                </c:pt>
                <c:pt idx="16">
                  <c:v>-1.318253305265872</c:v>
                </c:pt>
                <c:pt idx="17">
                  <c:v>-1.318253305265872</c:v>
                </c:pt>
                <c:pt idx="18">
                  <c:v>-1.318253305265872</c:v>
                </c:pt>
                <c:pt idx="19">
                  <c:v>-1.318253305265872</c:v>
                </c:pt>
                <c:pt idx="20">
                  <c:v>-1.318253305265872</c:v>
                </c:pt>
                <c:pt idx="21">
                  <c:v>-1.318253305265872</c:v>
                </c:pt>
                <c:pt idx="22">
                  <c:v>-1.318253305265872</c:v>
                </c:pt>
                <c:pt idx="23">
                  <c:v>-1.318253305265872</c:v>
                </c:pt>
                <c:pt idx="24">
                  <c:v>-1.318253305265872</c:v>
                </c:pt>
                <c:pt idx="25">
                  <c:v>-1.318253305265872</c:v>
                </c:pt>
                <c:pt idx="26">
                  <c:v>-1.318253305265872</c:v>
                </c:pt>
                <c:pt idx="27">
                  <c:v>-1.318253305265872</c:v>
                </c:pt>
                <c:pt idx="28">
                  <c:v>-1.318253305265872</c:v>
                </c:pt>
                <c:pt idx="29">
                  <c:v>-1.318253305265872</c:v>
                </c:pt>
                <c:pt idx="30">
                  <c:v>-1.318253305265872</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1.7651180818649603</c:v>
                </c:pt>
                <c:pt idx="2">
                  <c:v>0</c:v>
                </c:pt>
                <c:pt idx="3">
                  <c:v>-1.7651180818649603</c:v>
                </c:pt>
                <c:pt idx="4">
                  <c:v>0</c:v>
                </c:pt>
              </c:numCache>
            </c:numRef>
          </c:xVal>
          <c:yVal>
            <c:numRef>
              <c:f>DATA!$H$105:$H$109</c:f>
              <c:numCache>
                <c:formatCode>0.000_)</c:formatCode>
                <c:ptCount val="5"/>
                <c:pt idx="0">
                  <c:v>-0.81929471169568935</c:v>
                </c:pt>
                <c:pt idx="1">
                  <c:v>0</c:v>
                </c:pt>
                <c:pt idx="2">
                  <c:v>0.81929471169568935</c:v>
                </c:pt>
                <c:pt idx="3">
                  <c:v>0</c:v>
                </c:pt>
                <c:pt idx="4">
                  <c:v>-0.81929471169568935</c:v>
                </c:pt>
              </c:numCache>
            </c:numRef>
          </c:yVal>
          <c:smooth val="0"/>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Dir val="y"/>
            <c:errBarType val="minus"/>
            <c:errValType val="fixedVal"/>
            <c:noEndCap val="0"/>
            <c:val val="0.1"/>
            <c:spPr>
              <a:ln w="12700">
                <a:solidFill>
                  <a:srgbClr val="000000"/>
                </a:solidFill>
                <a:prstDash val="solid"/>
              </a:ln>
            </c:spPr>
          </c:errBars>
          <c:xVal>
            <c:numRef>
              <c:f>DATA!$D$108</c:f>
              <c:numCache>
                <c:formatCode>0.000_)</c:formatCode>
                <c:ptCount val="1"/>
                <c:pt idx="0">
                  <c:v>1.7651180818649603</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noEndCap val="0"/>
            <c:val val="0.1"/>
            <c:spPr>
              <a:ln w="12700">
                <a:solidFill>
                  <a:srgbClr val="000000"/>
                </a:solidFill>
                <a:prstDash val="solid"/>
              </a:ln>
            </c:spPr>
          </c:errBars>
          <c:xVal>
            <c:numRef>
              <c:f>DATA!$G$108</c:f>
              <c:numCache>
                <c:formatCode>0.000_)</c:formatCode>
                <c:ptCount val="1"/>
                <c:pt idx="0">
                  <c:v>-1.7651180818649603</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0.6328060840299925</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0.65512843771623541</c:v>
                </c:pt>
                <c:pt idx="4">
                  <c:v>-0.65512843771623541</c:v>
                </c:pt>
              </c:numCache>
            </c:numRef>
          </c:yVal>
          <c:smooth val="1"/>
        </c:ser>
        <c:dLbls>
          <c:showLegendKey val="0"/>
          <c:showVal val="0"/>
          <c:showCatName val="1"/>
          <c:showSerName val="0"/>
          <c:showPercent val="0"/>
          <c:showBubbleSize val="0"/>
        </c:dLbls>
        <c:axId val="337011960"/>
        <c:axId val="337008432"/>
      </c:scatterChart>
      <c:valAx>
        <c:axId val="337011960"/>
        <c:scaling>
          <c:orientation val="minMax"/>
          <c:max val="4"/>
          <c:min val="-4"/>
        </c:scaling>
        <c:delete val="1"/>
        <c:axPos val="b"/>
        <c:numFmt formatCode="0.000_)" sourceLinked="1"/>
        <c:majorTickMark val="out"/>
        <c:minorTickMark val="none"/>
        <c:tickLblPos val="none"/>
        <c:crossAx val="337008432"/>
        <c:crosses val="autoZero"/>
        <c:crossBetween val="midCat"/>
      </c:valAx>
      <c:valAx>
        <c:axId val="337008432"/>
        <c:scaling>
          <c:orientation val="minMax"/>
          <c:max val="3"/>
          <c:min val="-2"/>
        </c:scaling>
        <c:delete val="1"/>
        <c:axPos val="l"/>
        <c:numFmt formatCode="0.000_)" sourceLinked="1"/>
        <c:majorTickMark val="out"/>
        <c:minorTickMark val="none"/>
        <c:tickLblPos val="none"/>
        <c:crossAx val="337011960"/>
        <c:crosses val="autoZero"/>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DATA!$B$4</c:f>
          <c:strCache>
            <c:ptCount val="1"/>
            <c:pt idx="0">
              <c:v>Analemmatic Sundial, v. 2.2b</c:v>
            </c:pt>
          </c:strCache>
        </c:strRef>
      </c:tx>
      <c:layout>
        <c:manualLayout>
          <c:xMode val="edge"/>
          <c:yMode val="edge"/>
          <c:x val="6.4583333333333395E-2"/>
          <c:y val="5.0505050505050492E-3"/>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3.437500000000001E-2"/>
          <c:y val="5.387205387205387E-2"/>
          <c:w val="0.92604166666666665"/>
          <c:h val="0.94612794612794593"/>
        </c:manualLayout>
      </c:layout>
      <c:scatterChart>
        <c:scatterStyle val="smoothMarker"/>
        <c:varyColors val="0"/>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DATA!$E$28:$E$58</c:f>
              <c:numCache>
                <c:formatCode>0.000_)</c:formatCode>
                <c:ptCount val="31"/>
                <c:pt idx="0">
                  <c:v>-1.8177595370751236</c:v>
                </c:pt>
                <c:pt idx="1">
                  <c:v>-1.9717061079871852</c:v>
                </c:pt>
                <c:pt idx="2">
                  <c:v>-1.9912841660383258</c:v>
                </c:pt>
                <c:pt idx="3">
                  <c:v>-1.8751594989266311</c:v>
                </c:pt>
                <c:pt idx="4">
                  <c:v>-1.6312458108106771</c:v>
                </c:pt>
                <c:pt idx="5">
                  <c:v>-1.2761654164491378</c:v>
                </c:pt>
                <c:pt idx="6">
                  <c:v>-0.8341164579196555</c:v>
                </c:pt>
                <c:pt idx="7">
                  <c:v>-0.33522384122557031</c:v>
                </c:pt>
                <c:pt idx="8">
                  <c:v>0.18651372626444648</c:v>
                </c:pt>
                <c:pt idx="9">
                  <c:v>0.69554069153804754</c:v>
                </c:pt>
                <c:pt idx="10">
                  <c:v>1.1571677081186704</c:v>
                </c:pt>
                <c:pt idx="11">
                  <c:v>1.539935657701061</c:v>
                </c:pt>
                <c:pt idx="12">
                  <c:v>1.8177595370751236</c:v>
                </c:pt>
                <c:pt idx="13">
                  <c:v>1.9717061079871852</c:v>
                </c:pt>
                <c:pt idx="14">
                  <c:v>1.991284166038326</c:v>
                </c:pt>
                <c:pt idx="15">
                  <c:v>1.8751594989266311</c:v>
                </c:pt>
                <c:pt idx="16">
                  <c:v>1.8751594989266311</c:v>
                </c:pt>
                <c:pt idx="17">
                  <c:v>1.8751594989266311</c:v>
                </c:pt>
                <c:pt idx="18">
                  <c:v>1.8751594989266311</c:v>
                </c:pt>
                <c:pt idx="19">
                  <c:v>1.8751594989266311</c:v>
                </c:pt>
                <c:pt idx="20">
                  <c:v>1.8751594989266311</c:v>
                </c:pt>
                <c:pt idx="21">
                  <c:v>1.8751594989266311</c:v>
                </c:pt>
                <c:pt idx="22">
                  <c:v>1.8751594989266311</c:v>
                </c:pt>
                <c:pt idx="23">
                  <c:v>1.8751594989266311</c:v>
                </c:pt>
                <c:pt idx="24">
                  <c:v>1.8751594989266311</c:v>
                </c:pt>
                <c:pt idx="25">
                  <c:v>1.8751594989266311</c:v>
                </c:pt>
                <c:pt idx="26">
                  <c:v>1.8751594989266311</c:v>
                </c:pt>
                <c:pt idx="27">
                  <c:v>1.8751594989266311</c:v>
                </c:pt>
                <c:pt idx="28">
                  <c:v>1.8751594989266311</c:v>
                </c:pt>
                <c:pt idx="29">
                  <c:v>1.8751594989266311</c:v>
                </c:pt>
                <c:pt idx="30">
                  <c:v>1.8751594989266311</c:v>
                </c:pt>
              </c:numCache>
            </c:numRef>
          </c:xVal>
          <c:yVal>
            <c:numRef>
              <c:f>DATA!$F$28:$F$58</c:f>
              <c:numCache>
                <c:formatCode>0.000_)</c:formatCode>
                <c:ptCount val="31"/>
                <c:pt idx="0">
                  <c:v>-0.27322670597515197</c:v>
                </c:pt>
                <c:pt idx="1">
                  <c:v>-0.10980733569367157</c:v>
                </c:pt>
                <c:pt idx="2">
                  <c:v>6.1095223050130203E-2</c:v>
                </c:pt>
                <c:pt idx="3">
                  <c:v>0.22783424330769561</c:v>
                </c:pt>
                <c:pt idx="4">
                  <c:v>0.37904673639773068</c:v>
                </c:pt>
                <c:pt idx="5">
                  <c:v>0.50442782080660975</c:v>
                </c:pt>
                <c:pt idx="6">
                  <c:v>0.59543298283390655</c:v>
                </c:pt>
                <c:pt idx="7">
                  <c:v>0.64586037108060179</c:v>
                </c:pt>
                <c:pt idx="8">
                  <c:v>0.65227344237288254</c:v>
                </c:pt>
                <c:pt idx="9">
                  <c:v>0.61423515650028138</c:v>
                </c:pt>
                <c:pt idx="10">
                  <c:v>0.53433775978377629</c:v>
                </c:pt>
                <c:pt idx="11">
                  <c:v>0.41802612777290626</c:v>
                </c:pt>
                <c:pt idx="12">
                  <c:v>0.27322670597515192</c:v>
                </c:pt>
                <c:pt idx="13">
                  <c:v>0.10980733569367165</c:v>
                </c:pt>
                <c:pt idx="14">
                  <c:v>-6.1095223050130119E-2</c:v>
                </c:pt>
                <c:pt idx="15">
                  <c:v>-0.22783424330769556</c:v>
                </c:pt>
                <c:pt idx="16">
                  <c:v>-0.22783424330769556</c:v>
                </c:pt>
                <c:pt idx="17">
                  <c:v>-0.22783424330769556</c:v>
                </c:pt>
                <c:pt idx="18">
                  <c:v>-0.22783424330769556</c:v>
                </c:pt>
                <c:pt idx="19">
                  <c:v>-0.22783424330769556</c:v>
                </c:pt>
                <c:pt idx="20">
                  <c:v>-0.22783424330769556</c:v>
                </c:pt>
                <c:pt idx="21">
                  <c:v>-0.22783424330769556</c:v>
                </c:pt>
                <c:pt idx="22">
                  <c:v>-0.22783424330769556</c:v>
                </c:pt>
                <c:pt idx="23">
                  <c:v>-0.22783424330769556</c:v>
                </c:pt>
                <c:pt idx="24">
                  <c:v>-0.22783424330769556</c:v>
                </c:pt>
                <c:pt idx="25">
                  <c:v>-0.22783424330769556</c:v>
                </c:pt>
                <c:pt idx="26">
                  <c:v>-0.22783424330769556</c:v>
                </c:pt>
                <c:pt idx="27">
                  <c:v>-0.22783424330769556</c:v>
                </c:pt>
                <c:pt idx="28">
                  <c:v>-0.22783424330769556</c:v>
                </c:pt>
                <c:pt idx="29">
                  <c:v>-0.22783424330769556</c:v>
                </c:pt>
                <c:pt idx="30">
                  <c:v>-0.22783424330769556</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extLst>
                <c:ext xmlns:c15="http://schemas.microsoft.com/office/drawing/2012/chart" uri="{CE6537A1-D6FC-4f65-9D91-7224C49458BB}"/>
              </c:extLst>
            </c:dLbl>
            <c:dLbl>
              <c:idx val="7"/>
              <c:layout>
                <c:manualLayout>
                  <c:x val="-1.7574365704287967E-4"/>
                  <c:y val="4.214957978737492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975" b="0" i="0" u="none" strike="noStrike" baseline="0">
                    <a:solidFill>
                      <a:srgbClr val="8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percentage"/>
            <c:noEndCap val="0"/>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0.80599085106427326</c:v>
                </c:pt>
                <c:pt idx="1">
                  <c:v>0.61352004271574334</c:v>
                </c:pt>
                <c:pt idx="2">
                  <c:v>0.27361830298174616</c:v>
                </c:pt>
                <c:pt idx="3">
                  <c:v>9.0177294748923376E-3</c:v>
                </c:pt>
                <c:pt idx="4">
                  <c:v>-0.10659086200465044</c:v>
                </c:pt>
                <c:pt idx="5">
                  <c:v>-0.48737032177818446</c:v>
                </c:pt>
                <c:pt idx="6">
                  <c:v>-0.75646555733424459</c:v>
                </c:pt>
                <c:pt idx="7">
                  <c:v>-0.81920644175339763</c:v>
                </c:pt>
              </c:numCache>
            </c:numRef>
          </c:yVal>
          <c:smooth val="0"/>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-10.066851788598461</c:v>
                </c:pt>
                <c:pt idx="1">
                  <c:v>-10.066851788598461</c:v>
                </c:pt>
                <c:pt idx="2">
                  <c:v>-10.066851788598461</c:v>
                </c:pt>
                <c:pt idx="3">
                  <c:v>-4.2784729915113591</c:v>
                </c:pt>
                <c:pt idx="4">
                  <c:v>-2.4853025922041825</c:v>
                </c:pt>
                <c:pt idx="5">
                  <c:v>-1.5243581539830786</c:v>
                </c:pt>
                <c:pt idx="6">
                  <c:v>-0.86130781271640033</c:v>
                </c:pt>
                <c:pt idx="7">
                  <c:v>-0.3219725025902524</c:v>
                </c:pt>
                <c:pt idx="8">
                  <c:v>0.17756351345146992</c:v>
                </c:pt>
                <c:pt idx="9">
                  <c:v>0.69865198013780105</c:v>
                </c:pt>
                <c:pt idx="10">
                  <c:v>1.3144877390876599</c:v>
                </c:pt>
                <c:pt idx="11">
                  <c:v>2.1610909950982125</c:v>
                </c:pt>
                <c:pt idx="12">
                  <c:v>3.6085062179741758</c:v>
                </c:pt>
                <c:pt idx="13">
                  <c:v>7.3554969818906697</c:v>
                </c:pt>
                <c:pt idx="14">
                  <c:v>7.3554969818906697</c:v>
                </c:pt>
                <c:pt idx="15">
                  <c:v>7.3554969818906697</c:v>
                </c:pt>
                <c:pt idx="16">
                  <c:v>7.3554969818906697</c:v>
                </c:pt>
                <c:pt idx="17">
                  <c:v>7.3554969818906697</c:v>
                </c:pt>
                <c:pt idx="18">
                  <c:v>7.3554969818906697</c:v>
                </c:pt>
                <c:pt idx="19">
                  <c:v>7.3554969818906697</c:v>
                </c:pt>
                <c:pt idx="20">
                  <c:v>7.3554969818906697</c:v>
                </c:pt>
                <c:pt idx="21">
                  <c:v>7.3554969818906697</c:v>
                </c:pt>
                <c:pt idx="22">
                  <c:v>7.3554969818906697</c:v>
                </c:pt>
                <c:pt idx="23">
                  <c:v>7.3554969818906697</c:v>
                </c:pt>
                <c:pt idx="24">
                  <c:v>7.3554969818906697</c:v>
                </c:pt>
                <c:pt idx="25">
                  <c:v>7.3554969818906697</c:v>
                </c:pt>
                <c:pt idx="26">
                  <c:v>7.3554969818906697</c:v>
                </c:pt>
                <c:pt idx="27">
                  <c:v>7.3554969818906697</c:v>
                </c:pt>
                <c:pt idx="28">
                  <c:v>7.3554969818906697</c:v>
                </c:pt>
                <c:pt idx="29">
                  <c:v>7.3554969818906697</c:v>
                </c:pt>
                <c:pt idx="30">
                  <c:v>7.3554969818906697</c:v>
                </c:pt>
              </c:numCache>
            </c:numRef>
          </c:xVal>
          <c:yVal>
            <c:numRef>
              <c:f>DATA!$N$28:$N$58</c:f>
              <c:numCache>
                <c:formatCode>0.000_)</c:formatCode>
                <c:ptCount val="31"/>
                <c:pt idx="0">
                  <c:v>-2.2574536797819023</c:v>
                </c:pt>
                <c:pt idx="1">
                  <c:v>-2.2574536797819023</c:v>
                </c:pt>
                <c:pt idx="2">
                  <c:v>-2.2574536797819023</c:v>
                </c:pt>
                <c:pt idx="3">
                  <c:v>-0.29120122513212787</c:v>
                </c:pt>
                <c:pt idx="4">
                  <c:v>0.24618822405640672</c:v>
                </c:pt>
                <c:pt idx="5">
                  <c:v>0.4794604050009712</c:v>
                </c:pt>
                <c:pt idx="6">
                  <c:v>0.59421465744921287</c:v>
                </c:pt>
                <c:pt idx="7">
                  <c:v>0.64534433744254338</c:v>
                </c:pt>
                <c:pt idx="8">
                  <c:v>0.65133926447851198</c:v>
                </c:pt>
                <c:pt idx="9">
                  <c:v>0.61415208513462283</c:v>
                </c:pt>
                <c:pt idx="10">
                  <c:v>0.52095072892282213</c:v>
                </c:pt>
                <c:pt idx="11">
                  <c:v>0.33139152357510404</c:v>
                </c:pt>
                <c:pt idx="12">
                  <c:v>-8.1009134705701147E-2</c:v>
                </c:pt>
                <c:pt idx="13">
                  <c:v>-1.318253305265872</c:v>
                </c:pt>
                <c:pt idx="14">
                  <c:v>-1.318253305265872</c:v>
                </c:pt>
                <c:pt idx="15">
                  <c:v>-1.318253305265872</c:v>
                </c:pt>
                <c:pt idx="16">
                  <c:v>-1.318253305265872</c:v>
                </c:pt>
                <c:pt idx="17">
                  <c:v>-1.318253305265872</c:v>
                </c:pt>
                <c:pt idx="18">
                  <c:v>-1.318253305265872</c:v>
                </c:pt>
                <c:pt idx="19">
                  <c:v>-1.318253305265872</c:v>
                </c:pt>
                <c:pt idx="20">
                  <c:v>-1.318253305265872</c:v>
                </c:pt>
                <c:pt idx="21">
                  <c:v>-1.318253305265872</c:v>
                </c:pt>
                <c:pt idx="22">
                  <c:v>-1.318253305265872</c:v>
                </c:pt>
                <c:pt idx="23">
                  <c:v>-1.318253305265872</c:v>
                </c:pt>
                <c:pt idx="24">
                  <c:v>-1.318253305265872</c:v>
                </c:pt>
                <c:pt idx="25">
                  <c:v>-1.318253305265872</c:v>
                </c:pt>
                <c:pt idx="26">
                  <c:v>-1.318253305265872</c:v>
                </c:pt>
                <c:pt idx="27">
                  <c:v>-1.318253305265872</c:v>
                </c:pt>
                <c:pt idx="28">
                  <c:v>-1.318253305265872</c:v>
                </c:pt>
                <c:pt idx="29">
                  <c:v>-1.318253305265872</c:v>
                </c:pt>
                <c:pt idx="30">
                  <c:v>-1.318253305265872</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noEndCap val="0"/>
            <c:val val="0.1"/>
            <c:spPr>
              <a:ln w="12700">
                <a:solidFill>
                  <a:srgbClr val="000000"/>
                </a:solidFill>
                <a:prstDash val="solid"/>
              </a:ln>
            </c:spPr>
          </c:errBars>
          <c:xVal>
            <c:numRef>
              <c:f>DATA!$G$106</c:f>
              <c:numCache>
                <c:formatCode>0.000_)</c:formatCode>
                <c:ptCount val="1"/>
                <c:pt idx="0">
                  <c:v>1.7651180818649603</c:v>
                </c:pt>
              </c:numCache>
            </c:numRef>
          </c:xVal>
          <c:yVal>
            <c:numRef>
              <c:f>DATA!$H$106</c:f>
              <c:numCache>
                <c:formatCode>0.000_)</c:formatCode>
                <c:ptCount val="1"/>
                <c:pt idx="0">
                  <c:v>0</c:v>
                </c:pt>
              </c:numCache>
            </c:numRef>
          </c:yVal>
          <c:smooth val="0"/>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noEndCap val="0"/>
            <c:val val="0.1"/>
            <c:spPr>
              <a:ln w="12700">
                <a:solidFill>
                  <a:srgbClr val="000000"/>
                </a:solidFill>
                <a:prstDash val="solid"/>
              </a:ln>
            </c:spPr>
          </c:errBars>
          <c:xVal>
            <c:numRef>
              <c:f>DATA!$G$108</c:f>
              <c:numCache>
                <c:formatCode>0.000_)</c:formatCode>
                <c:ptCount val="1"/>
                <c:pt idx="0">
                  <c:v>-1.7651180818649603</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extLst>
                <c:ext xmlns:c15="http://schemas.microsoft.com/office/drawing/2012/chart" uri="{CE6537A1-D6FC-4f65-9D91-7224C49458BB}"/>
              </c:extLst>
            </c:dLbl>
            <c:dLbl>
              <c:idx val="7"/>
              <c:layout>
                <c:manualLayout>
                  <c:x val="-5.5032589676290482E-2"/>
                  <c:y val="-5.132179184672625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percentage"/>
            <c:noEndCap val="0"/>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-0.80178655017256195</c:v>
                </c:pt>
                <c:pt idx="1">
                  <c:v>-0.56975575394743494</c:v>
                </c:pt>
                <c:pt idx="2">
                  <c:v>-0.25022186189013279</c:v>
                </c:pt>
                <c:pt idx="3">
                  <c:v>9.1942427697755714E-3</c:v>
                </c:pt>
                <c:pt idx="4">
                  <c:v>0.15150508696479545</c:v>
                </c:pt>
                <c:pt idx="5">
                  <c:v>0.51024864759936084</c:v>
                </c:pt>
                <c:pt idx="6">
                  <c:v>0.76610395845103185</c:v>
                </c:pt>
                <c:pt idx="7">
                  <c:v>0.81925434587458745</c:v>
                </c:pt>
              </c:numCache>
            </c:numRef>
          </c:yVal>
          <c:smooth val="0"/>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noEndCap val="0"/>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0.6328060840299925</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0.65512843771623541</c:v>
                </c:pt>
                <c:pt idx="4">
                  <c:v>-0.65512843771623541</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dLbls>
          <c:showLegendKey val="0"/>
          <c:showVal val="0"/>
          <c:showCatName val="0"/>
          <c:showSerName val="0"/>
          <c:showPercent val="0"/>
          <c:showBubbleSize val="0"/>
        </c:dLbls>
        <c:axId val="337011176"/>
        <c:axId val="337010784"/>
      </c:scatterChart>
      <c:valAx>
        <c:axId val="337011176"/>
        <c:scaling>
          <c:orientation val="minMax"/>
          <c:max val="4"/>
          <c:min val="-4"/>
        </c:scaling>
        <c:delete val="0"/>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337010784"/>
        <c:crosses val="autoZero"/>
        <c:crossBetween val="midCat"/>
        <c:majorUnit val="0.5"/>
      </c:valAx>
      <c:valAx>
        <c:axId val="337010784"/>
        <c:scaling>
          <c:orientation val="minMax"/>
          <c:max val="3"/>
          <c:min val="-2"/>
        </c:scaling>
        <c:delete val="0"/>
        <c:axPos val="l"/>
        <c:numFmt formatCode="0.000_)" sourceLinked="1"/>
        <c:majorTickMark val="cross"/>
        <c:minorTickMark val="out"/>
        <c:tickLblPos val="none"/>
        <c:spPr>
          <a:ln w="3175">
            <a:solidFill>
              <a:srgbClr val="000000"/>
            </a:solidFill>
            <a:prstDash val="solid"/>
          </a:ln>
        </c:spPr>
        <c:crossAx val="337011176"/>
        <c:crosses val="autoZero"/>
        <c:crossBetween val="midCat"/>
      </c:valAx>
      <c:spPr>
        <a:solidFill>
          <a:srgbClr val="C0C0C0"/>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687"/>
          <c:y val="2.0202020202020211E-2"/>
        </c:manualLayout>
      </c:layout>
      <c:overlay val="0"/>
      <c:spPr>
        <a:noFill/>
        <a:ln w="25400">
          <a:noFill/>
        </a:ln>
      </c:spPr>
    </c:title>
    <c:autoTitleDeleted val="0"/>
    <c:plotArea>
      <c:layout>
        <c:manualLayout>
          <c:layoutTarget val="inner"/>
          <c:xMode val="edge"/>
          <c:yMode val="edge"/>
          <c:x val="0.26770833333333333"/>
          <c:y val="0.18181818181818193"/>
          <c:w val="0.4635416666666668"/>
          <c:h val="0.74915824915824913"/>
        </c:manualLayout>
      </c:layout>
      <c:pieChart>
        <c:varyColors val="0"/>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2.028528307277222E-2</c:v>
                </c:pt>
                <c:pt idx="2">
                  <c:v>1.775260723401346</c:v>
                </c:pt>
              </c:numCache>
            </c:numRef>
          </c:val>
        </c:ser>
        <c:ser>
          <c:idx val="3"/>
          <c:order val="3"/>
          <c:spPr>
            <a:solidFill>
              <a:srgbClr val="9999FF"/>
            </a:solidFill>
            <a:ln w="12700">
              <a:solidFill>
                <a:srgbClr val="000000"/>
              </a:solidFill>
              <a:prstDash val="solid"/>
            </a:ln>
          </c:spPr>
          <c:val>
            <c:numRef>
              <c:f>DATA!$N$100</c:f>
              <c:numCache>
                <c:formatCode>0.000_)</c:formatCode>
                <c:ptCount val="1"/>
                <c:pt idx="0">
                  <c:v>2.028528307277222E-2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2.028528307277222E-2</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136"/>
          <c:y val="1.1574100238037656E-2"/>
        </c:manualLayout>
      </c:layout>
      <c:overlay val="0"/>
      <c:spPr>
        <a:noFill/>
        <a:ln w="25400">
          <a:noFill/>
        </a:ln>
      </c:spPr>
    </c:title>
    <c:autoTitleDeleted val="0"/>
    <c:plotArea>
      <c:layout>
        <c:manualLayout>
          <c:layoutTarget val="inner"/>
          <c:xMode val="edge"/>
          <c:yMode val="edge"/>
          <c:x val="6.097560975609756E-2"/>
          <c:y val="0.10879654223755397"/>
          <c:w val="0.88871951219512213"/>
          <c:h val="0.85879823766239405"/>
        </c:manualLayout>
      </c:layout>
      <c:lineChart>
        <c:grouping val="standard"/>
        <c:varyColors val="0"/>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mooth val="0"/>
        </c:ser>
        <c:dLbls>
          <c:showLegendKey val="0"/>
          <c:showVal val="0"/>
          <c:showCatName val="0"/>
          <c:showSerName val="0"/>
          <c:showPercent val="0"/>
          <c:showBubbleSize val="0"/>
        </c:dLbls>
        <c:marker val="1"/>
        <c:smooth val="0"/>
        <c:axId val="293957184"/>
        <c:axId val="339001560"/>
      </c:lineChart>
      <c:catAx>
        <c:axId val="293957184"/>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9001560"/>
        <c:crosses val="autoZero"/>
        <c:auto val="1"/>
        <c:lblAlgn val="ctr"/>
        <c:lblOffset val="100"/>
        <c:tickLblSkip val="1"/>
        <c:tickMarkSkip val="1"/>
        <c:noMultiLvlLbl val="0"/>
      </c:catAx>
      <c:valAx>
        <c:axId val="3390015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3957184"/>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42"/>
          <c:y val="0.8125018367102429"/>
          <c:w val="0.55945121951219534"/>
          <c:h val="7.407424152344097E-2"/>
        </c:manualLayout>
      </c:layout>
      <c:overlay val="0"/>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DATA!$J$15</c:f>
          <c:strCache>
            <c:ptCount val="1"/>
            <c:pt idx="0">
              <c:v>Equation of Time [min] for</c:v>
            </c:pt>
          </c:strCache>
        </c:strRef>
      </c:tx>
      <c:layout>
        <c:manualLayout>
          <c:xMode val="edge"/>
          <c:yMode val="edge"/>
          <c:x val="0.38020833333333331"/>
          <c:y val="0"/>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3.437500000000001E-2"/>
          <c:y val="0.16329966329966331"/>
          <c:w val="0.92187500000000022"/>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2"/>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3"/>
            <c:marker>
              <c:symbol val="diamond"/>
              <c:size val="5"/>
              <c:spPr>
                <a:solidFill>
                  <a:srgbClr val="FFFFCC"/>
                </a:solidFill>
                <a:ln>
                  <a:solidFill>
                    <a:srgbClr val="000000"/>
                  </a:solidFill>
                  <a:prstDash val="solid"/>
                </a:ln>
              </c:spPr>
            </c:marker>
            <c:bubble3D val="0"/>
            <c:spPr>
              <a:ln w="25400">
                <a:solidFill>
                  <a:srgbClr val="0000FF"/>
                </a:solidFill>
                <a:prstDash val="solid"/>
              </a:ln>
            </c:spPr>
          </c:dPt>
          <c:dPt>
            <c:idx val="4"/>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5"/>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6"/>
            <c:marker>
              <c:symbol val="diamond"/>
              <c:size val="5"/>
              <c:spPr>
                <a:solidFill>
                  <a:srgbClr val="FFFF99"/>
                </a:solidFill>
                <a:ln>
                  <a:solidFill>
                    <a:srgbClr val="000000"/>
                  </a:solidFill>
                  <a:prstDash val="solid"/>
                </a:ln>
              </c:spPr>
            </c:marker>
            <c:bubble3D val="0"/>
            <c:spPr>
              <a:ln w="25400">
                <a:solidFill>
                  <a:srgbClr val="0000FF"/>
                </a:solidFill>
                <a:prstDash val="solid"/>
              </a:ln>
            </c:spPr>
          </c:dPt>
          <c:dPt>
            <c:idx val="7"/>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8"/>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9"/>
            <c:marker>
              <c:symbol val="diamond"/>
              <c:size val="5"/>
              <c:spPr>
                <a:solidFill>
                  <a:srgbClr val="FFFFCC"/>
                </a:solidFill>
                <a:ln>
                  <a:solidFill>
                    <a:srgbClr val="008000"/>
                  </a:solidFill>
                  <a:prstDash val="solid"/>
                </a:ln>
              </c:spPr>
            </c:marker>
            <c:bubble3D val="0"/>
            <c:spPr>
              <a:ln w="25400">
                <a:solidFill>
                  <a:srgbClr val="339966"/>
                </a:solidFill>
                <a:prstDash val="solid"/>
              </a:ln>
            </c:spPr>
          </c:dPt>
          <c:dPt>
            <c:idx val="10"/>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1"/>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2"/>
            <c:marker>
              <c:symbol val="diamond"/>
              <c:size val="5"/>
              <c:spPr>
                <a:solidFill>
                  <a:srgbClr val="FFFFCC"/>
                </a:solidFill>
                <a:ln>
                  <a:solidFill>
                    <a:srgbClr val="000000"/>
                  </a:solidFill>
                  <a:prstDash val="solid"/>
                </a:ln>
              </c:spPr>
            </c:marker>
            <c:bubble3D val="0"/>
            <c:spPr>
              <a:ln w="25400">
                <a:solidFill>
                  <a:srgbClr val="339966"/>
                </a:solidFill>
                <a:prstDash val="solid"/>
              </a:ln>
            </c:spPr>
          </c:dPt>
          <c:dPt>
            <c:idx val="13"/>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4"/>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5"/>
            <c:marker>
              <c:symbol val="diamond"/>
              <c:size val="5"/>
              <c:spPr>
                <a:solidFill>
                  <a:srgbClr val="FFFFCC"/>
                </a:solidFill>
                <a:ln>
                  <a:solidFill>
                    <a:srgbClr val="000000"/>
                  </a:solidFill>
                  <a:prstDash val="solid"/>
                </a:ln>
              </c:spPr>
            </c:marker>
            <c:bubble3D val="0"/>
            <c:spPr>
              <a:ln w="25400">
                <a:solidFill>
                  <a:srgbClr val="339966"/>
                </a:solidFill>
                <a:prstDash val="solid"/>
              </a:ln>
            </c:spPr>
          </c:dPt>
          <c:dPt>
            <c:idx val="16"/>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7"/>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8"/>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19"/>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0"/>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1"/>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22"/>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3"/>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4"/>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25"/>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6"/>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7"/>
            <c:marker>
              <c:symbol val="diamond"/>
              <c:size val="5"/>
              <c:spPr>
                <a:solidFill>
                  <a:srgbClr val="FFFFCC"/>
                </a:solidFill>
                <a:ln>
                  <a:solidFill>
                    <a:srgbClr val="333300"/>
                  </a:solidFill>
                  <a:prstDash val="solid"/>
                </a:ln>
              </c:spPr>
            </c:marker>
            <c:bubble3D val="0"/>
            <c:spPr>
              <a:ln w="25400">
                <a:solidFill>
                  <a:srgbClr val="800000"/>
                </a:solidFill>
                <a:prstDash val="solid"/>
              </a:ln>
            </c:spPr>
          </c:dPt>
          <c:dPt>
            <c:idx val="28"/>
            <c:marker>
              <c:symbol val="diamond"/>
              <c:size val="5"/>
              <c:spPr>
                <a:solidFill>
                  <a:srgbClr val="993300"/>
                </a:solidFill>
                <a:ln>
                  <a:solidFill>
                    <a:srgbClr val="000000"/>
                  </a:solidFill>
                  <a:prstDash val="solid"/>
                </a:ln>
              </c:spPr>
            </c:marker>
            <c:bubble3D val="0"/>
            <c:spPr>
              <a:ln w="25400">
                <a:solidFill>
                  <a:srgbClr val="800000"/>
                </a:solidFill>
                <a:prstDash val="solid"/>
              </a:ln>
            </c:spPr>
          </c:dPt>
          <c:dPt>
            <c:idx val="29"/>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0"/>
            <c:marker>
              <c:symbol val="diamond"/>
              <c:size val="5"/>
              <c:spPr>
                <a:solidFill>
                  <a:srgbClr val="FFFFCC"/>
                </a:solidFill>
                <a:ln>
                  <a:solidFill>
                    <a:srgbClr val="000000"/>
                  </a:solidFill>
                  <a:prstDash val="solid"/>
                </a:ln>
              </c:spPr>
            </c:marker>
            <c:bubble3D val="0"/>
            <c:spPr>
              <a:ln w="25400">
                <a:solidFill>
                  <a:srgbClr val="800000"/>
                </a:solidFill>
                <a:prstDash val="solid"/>
              </a:ln>
            </c:spPr>
          </c:dPt>
          <c:dPt>
            <c:idx val="31"/>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2"/>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3"/>
            <c:marker>
              <c:symbol val="diamond"/>
              <c:size val="5"/>
              <c:spPr>
                <a:solidFill>
                  <a:srgbClr val="FFFFCC"/>
                </a:solidFill>
                <a:ln>
                  <a:solidFill>
                    <a:srgbClr val="000000"/>
                  </a:solidFill>
                  <a:prstDash val="solid"/>
                </a:ln>
              </c:spPr>
            </c:marker>
            <c:bubble3D val="0"/>
            <c:spPr>
              <a:ln w="25400">
                <a:solidFill>
                  <a:srgbClr val="800000"/>
                </a:solidFill>
                <a:prstDash val="solid"/>
              </a:ln>
            </c:spPr>
          </c:dPt>
          <c:dPt>
            <c:idx val="34"/>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5"/>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6"/>
            <c:marker>
              <c:symbol val="diamond"/>
              <c:size val="5"/>
              <c:spPr>
                <a:solidFill>
                  <a:srgbClr val="FFFFCC"/>
                </a:solidFill>
                <a:ln>
                  <a:solidFill>
                    <a:srgbClr val="000000"/>
                  </a:solidFill>
                  <a:prstDash val="solid"/>
                </a:ln>
              </c:spPr>
            </c:marker>
            <c:bubble3D val="0"/>
            <c:spPr>
              <a:ln w="25400">
                <a:solidFill>
                  <a:srgbClr val="0000FF"/>
                </a:solidFill>
                <a:prstDash val="solid"/>
              </a:ln>
            </c:spPr>
          </c:dPt>
          <c:dLbls>
            <c:dLbl>
              <c:idx val="0"/>
              <c:layout>
                <c:manualLayout>
                  <c:x val="2.1202974628171563E-3"/>
                  <c:y val="-1.39729756002722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1819116360454921E-2"/>
                  <c:y val="4.409448818897596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764326334208273E-2"/>
                  <c:y val="7.9376441581161189E-4"/>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7755686789151361E-2"/>
                  <c:y val="1.05038132859654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3430664916885553E-3"/>
                  <c:y val="6.732946260505263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660542432195994E-3"/>
                  <c:y val="6.58288926005462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8231627296588106E-3"/>
                  <c:y val="4.5718780101982178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310203412073494E-2"/>
                  <c:y val="1.09787286690173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422462817147824E-3"/>
                  <c:y val="4.098023100647778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3868110236220079E-3"/>
                  <c:y val="6.131127548450381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250371828521429E-2"/>
                  <c:y val="-2.55006760518571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8.8363954505688708E-4"/>
                  <c:y val="-1.30261495090891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4.4997812773403074E-3"/>
                  <c:y val="-1.41880749754765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5.0707786526684173E-2"/>
                  <c:y val="-1.9214012389865928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4.6753718285214352E-2"/>
                  <c:y val="-2.119356292584683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0"/>
              <c:layout>
                <c:manualLayout>
                  <c:x val="-9.7361111111111173E-3"/>
                  <c:y val="1.1019380153238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3.8511482939632573E-2"/>
                  <c:y val="1.3732071369866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2"/>
              <c:layout>
                <c:manualLayout>
                  <c:x val="-4.4159120734908186E-2"/>
                  <c:y val="1.50976077485263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6.0340113735783104E-3"/>
                  <c:y val="-1.58086552312274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1.0423228346456293E-3"/>
                  <c:y val="-1.0924644520445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0"/>
              <c:layout>
                <c:manualLayout>
                  <c:x val="1.0761154855643392E-4"/>
                  <c:y val="-1.14154670060181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1"/>
              <c:layout>
                <c:manualLayout>
                  <c:x val="-4.1565944881889777E-2"/>
                  <c:y val="-1.69488409908357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3"/>
              <c:layout>
                <c:manualLayout>
                  <c:x val="8.3781714785651667E-4"/>
                  <c:y val="-1.09771379587652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 val="-4.3005905511811021E-2"/>
                  <c:y val="8.886060959551734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dLbls>
          <c:showLegendKey val="0"/>
          <c:showVal val="0"/>
          <c:showCatName val="0"/>
          <c:showSerName val="0"/>
          <c:showPercent val="0"/>
          <c:showBubbleSize val="0"/>
        </c:dLbls>
        <c:axId val="32941416"/>
        <c:axId val="461748712"/>
      </c:scatterChart>
      <c:valAx>
        <c:axId val="32941416"/>
        <c:scaling>
          <c:orientation val="minMax"/>
          <c:max val="25"/>
          <c:min val="-25"/>
        </c:scaling>
        <c:delete val="0"/>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461748712"/>
        <c:crosses val="autoZero"/>
        <c:crossBetween val="midCat"/>
        <c:majorUnit val="5"/>
        <c:minorUnit val="1"/>
      </c:valAx>
      <c:valAx>
        <c:axId val="461748712"/>
        <c:scaling>
          <c:orientation val="minMax"/>
          <c:max val="18"/>
          <c:min val="-15"/>
        </c:scaling>
        <c:delete val="0"/>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2941416"/>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087"/>
          <c:y val="1.948051948051949E-2"/>
        </c:manualLayout>
      </c:layout>
      <c:overlay val="0"/>
      <c:spPr>
        <a:noFill/>
        <a:ln w="25400">
          <a:noFill/>
        </a:ln>
      </c:spPr>
    </c:title>
    <c:autoTitleDeleted val="0"/>
    <c:plotArea>
      <c:layout>
        <c:manualLayout>
          <c:layoutTarget val="inner"/>
          <c:xMode val="edge"/>
          <c:yMode val="edge"/>
          <c:x val="7.1588366890380312E-2"/>
          <c:y val="6.8181818181818177E-2"/>
          <c:w val="0.86577181208053755"/>
          <c:h val="0.86850649350649389"/>
        </c:manualLayout>
      </c:layout>
      <c:scatterChart>
        <c:scatterStyle val="smoothMarker"/>
        <c:varyColors val="0"/>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-22.991633987675449</c:v>
                </c:pt>
                <c:pt idx="1">
                  <c:v>-16.7787237985372</c:v>
                </c:pt>
                <c:pt idx="2">
                  <c:v>-7.5430236304308433</c:v>
                </c:pt>
                <c:pt idx="3">
                  <c:v>0.27877382880803792</c:v>
                </c:pt>
                <c:pt idx="4">
                  <c:v>4.5839374477366368</c:v>
                </c:pt>
                <c:pt idx="5">
                  <c:v>15.110734712682955</c:v>
                </c:pt>
                <c:pt idx="6">
                  <c:v>22.068588550280939</c:v>
                </c:pt>
                <c:pt idx="7">
                  <c:v>23.438969739280981</c:v>
                </c:pt>
                <c:pt idx="8">
                  <c:v>23.099576227833481</c:v>
                </c:pt>
                <c:pt idx="9">
                  <c:v>17.987191248733009</c:v>
                </c:pt>
                <c:pt idx="10">
                  <c:v>8.2390404334191629</c:v>
                </c:pt>
                <c:pt idx="11">
                  <c:v>0.27342194351338306</c:v>
                </c:pt>
                <c:pt idx="12">
                  <c:v>-3.2284900689164786</c:v>
                </c:pt>
                <c:pt idx="13">
                  <c:v>-14.462239926466959</c:v>
                </c:pt>
                <c:pt idx="14">
                  <c:v>-21.817154235870575</c:v>
                </c:pt>
                <c:pt idx="15">
                  <c:v>-23.437747056963104</c:v>
                </c:pt>
                <c:pt idx="16">
                  <c:v>-22.991633987675449</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-3.536725508672915</c:v>
                </c:pt>
                <c:pt idx="1">
                  <c:v>-13.717905902928857</c:v>
                </c:pt>
                <c:pt idx="2">
                  <c:v>-12.374940920330559</c:v>
                </c:pt>
                <c:pt idx="3">
                  <c:v>-7.2350215468219243</c:v>
                </c:pt>
                <c:pt idx="4">
                  <c:v>-3.9270772509077672</c:v>
                </c:pt>
                <c:pt idx="5">
                  <c:v>2.9011442918658359</c:v>
                </c:pt>
                <c:pt idx="6">
                  <c:v>2.2070852359338602</c:v>
                </c:pt>
                <c:pt idx="7">
                  <c:v>-1.729113557405364</c:v>
                </c:pt>
                <c:pt idx="8">
                  <c:v>-3.8095160546352176</c:v>
                </c:pt>
                <c:pt idx="9">
                  <c:v>-6.332065439363042</c:v>
                </c:pt>
                <c:pt idx="10">
                  <c:v>-3.0974942797341226E-2</c:v>
                </c:pt>
                <c:pt idx="11">
                  <c:v>7.2396130640470115</c:v>
                </c:pt>
                <c:pt idx="12">
                  <c:v>10.292762076215309</c:v>
                </c:pt>
                <c:pt idx="13">
                  <c:v>16.405497459948663</c:v>
                </c:pt>
                <c:pt idx="14">
                  <c:v>11.003752948459946</c:v>
                </c:pt>
                <c:pt idx="15">
                  <c:v>1.9703160936736017</c:v>
                </c:pt>
                <c:pt idx="16">
                  <c:v>-3.536725508672915</c:v>
                </c:pt>
              </c:numCache>
            </c:numRef>
          </c:yVal>
          <c:smooth val="1"/>
        </c:ser>
        <c:dLbls>
          <c:showLegendKey val="0"/>
          <c:showVal val="0"/>
          <c:showCatName val="0"/>
          <c:showSerName val="0"/>
          <c:showPercent val="0"/>
          <c:showBubbleSize val="0"/>
        </c:dLbls>
        <c:axId val="386427832"/>
        <c:axId val="386431360"/>
      </c:scatterChart>
      <c:valAx>
        <c:axId val="386427832"/>
        <c:scaling>
          <c:orientation val="minMax"/>
          <c:max val="370"/>
          <c:min val="1"/>
        </c:scaling>
        <c:delete val="0"/>
        <c:axPos val="b"/>
        <c:title>
          <c:tx>
            <c:strRef>
              <c:f>DATA!$C$62</c:f>
              <c:strCache>
                <c:ptCount val="1"/>
                <c:pt idx="0">
                  <c:v>Day (Date)</c:v>
                </c:pt>
              </c:strCache>
            </c:strRef>
          </c:tx>
          <c:layout>
            <c:manualLayout>
              <c:xMode val="edge"/>
              <c:yMode val="edge"/>
              <c:x val="0.46196868008948566"/>
              <c:y val="0.95454545454545492"/>
            </c:manualLayout>
          </c:layout>
          <c:overlay val="0"/>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386431360"/>
        <c:crosses val="autoZero"/>
        <c:crossBetween val="midCat"/>
        <c:majorUnit val="28"/>
        <c:minorUnit val="7"/>
      </c:valAx>
      <c:valAx>
        <c:axId val="3864313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386427832"/>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869"/>
          <c:w val="0.16666666666666666"/>
          <c:h val="6.6558441558441581E-2"/>
        </c:manualLayout>
      </c:layout>
      <c:overlay val="0"/>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76"/>
          <c:y val="0"/>
        </c:manualLayout>
      </c:layout>
      <c:overlay val="0"/>
      <c:spPr>
        <a:noFill/>
        <a:ln w="25400">
          <a:noFill/>
        </a:ln>
      </c:spPr>
    </c:title>
    <c:autoTitleDeleted val="0"/>
    <c:plotArea>
      <c:layout>
        <c:manualLayout>
          <c:layoutTarget val="inner"/>
          <c:xMode val="edge"/>
          <c:yMode val="edge"/>
          <c:x val="9.3750000000000042E-2"/>
          <c:y val="6.228956228956227E-2"/>
          <c:w val="0.8666666666666667"/>
          <c:h val="0.89057239057239057"/>
        </c:manualLayout>
      </c:layout>
      <c:scatterChart>
        <c:scatterStyle val="smoothMarker"/>
        <c:varyColors val="0"/>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2310914260717423E-2"/>
                  <c:y val="1.56925333828220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2183836395450584E-2"/>
                  <c:y val="3.96594112604610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5824256342957121E-2"/>
                  <c:y val="-4.7663511757999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2493219597550299E-2"/>
                  <c:y val="-4.79259789496009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3578958880140009E-2"/>
                  <c:y val="-2.12647913960250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8263342082239767E-2"/>
                  <c:y val="3.3899802928674221E-3"/>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112095363079617E-2"/>
                  <c:y val="5.096458902233180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9740813648293134E-3"/>
                  <c:y val="2.99619113267405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3200131233595732E-2"/>
                  <c:y val="-1.06832100532888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051181102362122E-2"/>
                  <c:y val="-4.4729181579575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5540354330708628E-2"/>
                  <c:y val="-4.77363309384307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88681102362203E-2"/>
                  <c:y val="4.66751504546778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6154636920384874E-2"/>
                  <c:y val="1.42980107284568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2.1615266841644772E-2"/>
                  <c:y val="2.704207428616829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5"/>
              <c:layout>
                <c:manualLayout>
                  <c:x val="-2.5880796150481142E-2"/>
                  <c:y val="-1.30563730038796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0466316710411159E-2"/>
                  <c:y val="-7.5369619201640812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-0.80178655017256195</c:v>
                </c:pt>
                <c:pt idx="1">
                  <c:v>-0.56975575394743494</c:v>
                </c:pt>
                <c:pt idx="2">
                  <c:v>-0.25022186189013279</c:v>
                </c:pt>
                <c:pt idx="3">
                  <c:v>9.1942427697755714E-3</c:v>
                </c:pt>
                <c:pt idx="4">
                  <c:v>0.15150508696479545</c:v>
                </c:pt>
                <c:pt idx="5">
                  <c:v>0.51024864759936084</c:v>
                </c:pt>
                <c:pt idx="6">
                  <c:v>0.76610395845103185</c:v>
                </c:pt>
                <c:pt idx="7">
                  <c:v>0.81925434587458745</c:v>
                </c:pt>
                <c:pt idx="8">
                  <c:v>0.80599085106427326</c:v>
                </c:pt>
                <c:pt idx="9">
                  <c:v>0.61352004271574334</c:v>
                </c:pt>
                <c:pt idx="10">
                  <c:v>0.27361830298174616</c:v>
                </c:pt>
                <c:pt idx="11">
                  <c:v>9.0177294748923376E-3</c:v>
                </c:pt>
                <c:pt idx="12">
                  <c:v>-0.10659086200465044</c:v>
                </c:pt>
                <c:pt idx="13">
                  <c:v>-0.48737032177818446</c:v>
                </c:pt>
                <c:pt idx="14">
                  <c:v>-0.75646555733424459</c:v>
                </c:pt>
                <c:pt idx="15">
                  <c:v>-0.81920644175339763</c:v>
                </c:pt>
                <c:pt idx="16" formatCode="0.00">
                  <c:v>-0.80178655017256195</c:v>
                </c:pt>
              </c:numCache>
            </c:numRef>
          </c:yVal>
          <c:smooth val="1"/>
        </c:ser>
        <c:dLbls>
          <c:showLegendKey val="0"/>
          <c:showVal val="0"/>
          <c:showCatName val="0"/>
          <c:showSerName val="0"/>
          <c:showPercent val="0"/>
          <c:showBubbleSize val="0"/>
        </c:dLbls>
        <c:axId val="386427048"/>
        <c:axId val="386430968"/>
      </c:scatterChart>
      <c:valAx>
        <c:axId val="386427048"/>
        <c:scaling>
          <c:orientation val="minMax"/>
          <c:max val="370"/>
          <c:min val="1"/>
        </c:scaling>
        <c:delete val="0"/>
        <c:axPos val="b"/>
        <c:title>
          <c:tx>
            <c:strRef>
              <c:f>DATA!$C$62</c:f>
              <c:strCache>
                <c:ptCount val="1"/>
                <c:pt idx="0">
                  <c:v>Day (Date)</c:v>
                </c:pt>
              </c:strCache>
            </c:strRef>
          </c:tx>
          <c:layout>
            <c:manualLayout>
              <c:xMode val="edge"/>
              <c:yMode val="edge"/>
              <c:x val="0.47604166666666675"/>
              <c:y val="0.95959595959595967"/>
            </c:manualLayout>
          </c:layout>
          <c:overlay val="0"/>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386430968"/>
        <c:crosses val="autoZero"/>
        <c:crossBetween val="midCat"/>
        <c:majorUnit val="28"/>
        <c:minorUnit val="7"/>
      </c:valAx>
      <c:valAx>
        <c:axId val="386430968"/>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1"/>
            </c:manualLayout>
          </c:layout>
          <c:overlay val="0"/>
          <c:spPr>
            <a:noFill/>
            <a:ln w="25400">
              <a:noFill/>
            </a:ln>
          </c:spPr>
        </c:title>
        <c:numFmt formatCode="0.000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386427048"/>
        <c:crossesAt val="1"/>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110"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106"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110"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0</xdr:row>
          <xdr:rowOff>219075</xdr:rowOff>
        </xdr:from>
        <xdr:to>
          <xdr:col>1</xdr:col>
          <xdr:colOff>1095375</xdr:colOff>
          <xdr:row>2</xdr:row>
          <xdr:rowOff>0</xdr:rowOff>
        </xdr:to>
        <xdr:sp macro="" textlink="">
          <xdr:nvSpPr>
            <xdr:cNvPr id="43025" name="CommandButton1" hidden="1">
              <a:extLst>
                <a:ext uri="{63B3BB69-23CF-44E3-9099-C40C66FF867C}">
                  <a14:compatExt spid="_x0000_s4302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0</xdr:row>
          <xdr:rowOff>219075</xdr:rowOff>
        </xdr:from>
        <xdr:to>
          <xdr:col>2</xdr:col>
          <xdr:colOff>838200</xdr:colOff>
          <xdr:row>2</xdr:row>
          <xdr:rowOff>0</xdr:rowOff>
        </xdr:to>
        <xdr:sp macro="" textlink="">
          <xdr:nvSpPr>
            <xdr:cNvPr id="43026" name="Control 18" hidden="1">
              <a:extLst>
                <a:ext uri="{63B3BB69-23CF-44E3-9099-C40C66FF867C}">
                  <a14:compatExt spid="_x0000_s43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209550</xdr:rowOff>
        </xdr:from>
        <xdr:to>
          <xdr:col>4</xdr:col>
          <xdr:colOff>1047750</xdr:colOff>
          <xdr:row>12</xdr:row>
          <xdr:rowOff>38100</xdr:rowOff>
        </xdr:to>
        <xdr:sp macro="" textlink="">
          <xdr:nvSpPr>
            <xdr:cNvPr id="43027" name="Control 19" hidden="1">
              <a:extLst>
                <a:ext uri="{63B3BB69-23CF-44E3-9099-C40C66FF867C}">
                  <a14:compatExt spid="_x0000_s43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2015</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8730" cy="586094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30/ juil/ 15</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19,12</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-72,85</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2,17</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0,020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1,775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85725</xdr:colOff>
      <xdr:row>3</xdr:row>
      <xdr:rowOff>200025</xdr:rowOff>
    </xdr:from>
    <xdr:to>
      <xdr:col>7</xdr:col>
      <xdr:colOff>28575</xdr:colOff>
      <xdr:row>14</xdr:row>
      <xdr:rowOff>152400</xdr:rowOff>
    </xdr:to>
    <xdr:sp macro="" textlink="">
      <xdr:nvSpPr>
        <xdr:cNvPr id="248835" name="Text Box 3" hidden="1"/>
        <xdr:cNvSpPr txBox="1">
          <a:spLocks noChangeArrowheads="1"/>
        </xdr:cNvSpPr>
      </xdr:nvSpPr>
      <xdr:spPr bwMode="auto">
        <a:xfrm>
          <a:off x="1381125" y="1123950"/>
          <a:ext cx="4048125" cy="22098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anchor="t" upright="1"/>
        <a:lstStyle/>
        <a:p>
          <a:pPr algn="ctr" rtl="0">
            <a:defRPr sz="1000"/>
          </a:pPr>
          <a:endParaRPr lang="fr-F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8" transitionEvaluation="1" codeName="Tabelle1">
    <pageSetUpPr fitToPage="1"/>
  </sheetPr>
  <dimension ref="A1:AP112"/>
  <sheetViews>
    <sheetView topLeftCell="A18" zoomScale="75" zoomScaleNormal="60" workbookViewId="0">
      <selection activeCell="E28" sqref="E28:F44"/>
    </sheetView>
  </sheetViews>
  <sheetFormatPr baseColWidth="10" defaultColWidth="8.88671875" defaultRowHeight="15" x14ac:dyDescent="0.2"/>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x14ac:dyDescent="0.2">
      <c r="E1" s="317"/>
      <c r="F1" s="318"/>
      <c r="G1" s="318"/>
      <c r="H1" s="319"/>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x14ac:dyDescent="0.2">
      <c r="D2" s="1"/>
      <c r="E2" s="320"/>
      <c r="F2" s="321"/>
      <c r="G2" s="321"/>
      <c r="H2" s="322"/>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x14ac:dyDescent="0.2">
      <c r="E3" s="320"/>
      <c r="F3" s="321"/>
      <c r="G3" s="321"/>
      <c r="H3" s="322"/>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x14ac:dyDescent="0.3">
      <c r="B4" s="316" t="str">
        <f>IF($C$7,"Analemmatic Sundial, v. 2.2b","Analemmatische Sonnenuhr, v. 2.2b")</f>
        <v>Analemmatic Sundial, v. 2.2b</v>
      </c>
      <c r="C4" s="316"/>
      <c r="D4" s="316"/>
      <c r="E4" s="320"/>
      <c r="F4" s="321"/>
      <c r="G4" s="321"/>
      <c r="H4" s="322"/>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x14ac:dyDescent="0.25">
      <c r="B5" s="326" t="s">
        <v>21</v>
      </c>
      <c r="C5" s="326"/>
      <c r="D5" s="327"/>
      <c r="E5" s="323" t="str">
        <f>IF($C$7&gt;0,"For Shortkeys look at tabsheet 'Help'","Steuerungsbefehle siehe Tabellenblatt 'Hilfe' ")</f>
        <v>For Shortkeys look at tabsheet 'Help'</v>
      </c>
      <c r="F5" s="324"/>
      <c r="G5" s="324"/>
      <c r="H5" s="325"/>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x14ac:dyDescent="0.2">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x14ac:dyDescent="0.25">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x14ac:dyDescent="0.25">
      <c r="A8" s="290"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x14ac:dyDescent="0.25">
      <c r="A9" s="291"/>
      <c r="B9" s="1" t="str">
        <f>IF($C$7,"Latitude =","Geogr. Breite =")</f>
        <v>Latitude =</v>
      </c>
      <c r="C9" s="19">
        <v>19.120999999999999</v>
      </c>
      <c r="D9" s="1" t="str">
        <f>IF($C$7,"North","Nord")</f>
        <v>North</v>
      </c>
      <c r="E9" s="180"/>
      <c r="F9" s="1"/>
      <c r="G9" s="1" t="str">
        <f>IF($C$7,"Sunsets","Sonne unter")</f>
        <v>Sunsets</v>
      </c>
      <c r="H9" s="13">
        <f>ACOS(TAN(23.44*$J$1)*TAN($C$9*$J$1))/(2*PI())+$C$10/360+0.5+($E$14-$F$12)/24</f>
        <v>0.75278849907753254</v>
      </c>
      <c r="I9" s="13">
        <f>ACOS(TAN(-23.44*$J$1)*TAN($C$9*$J$1))/(2*PI())+($C$10)/360+0.5+($E$14-$F$12)/24</f>
        <v>0.80081705647802293</v>
      </c>
      <c r="J9" s="202">
        <f>($C$9-$D$19)*$J$1</f>
        <v>0.33372440627383571</v>
      </c>
      <c r="K9" s="202">
        <f>SIN($J$9)</f>
        <v>0.32756421885811776</v>
      </c>
      <c r="L9" s="84"/>
      <c r="M9" s="179">
        <f t="shared" si="0"/>
        <v>12</v>
      </c>
      <c r="N9" s="179">
        <v>12</v>
      </c>
      <c r="O9" s="84"/>
      <c r="P9" s="86"/>
      <c r="Q9" s="86"/>
      <c r="R9" s="86"/>
      <c r="S9" s="86"/>
      <c r="T9" s="86"/>
      <c r="U9" s="86"/>
      <c r="V9" s="86"/>
      <c r="W9" s="86"/>
      <c r="X9" s="86"/>
      <c r="Y9" s="86"/>
      <c r="Z9" s="86"/>
      <c r="AJ9" s="226">
        <f>($C$9-$D$19)*$J$1</f>
        <v>0.33372440627383571</v>
      </c>
      <c r="AK9" s="226">
        <f>SIN($J$9)</f>
        <v>0.32756421885811776</v>
      </c>
      <c r="AL9" s="9"/>
      <c r="AM9" s="179">
        <f t="shared" si="1"/>
        <v>12</v>
      </c>
      <c r="AN9" s="179">
        <v>12</v>
      </c>
    </row>
    <row r="10" spans="1:40" ht="15.75" thickBot="1" x14ac:dyDescent="0.25">
      <c r="A10" s="291"/>
      <c r="B10" s="1" t="str">
        <f>IF($C$7,"Longitude =","Geogr. Länge =")</f>
        <v>Longitude =</v>
      </c>
      <c r="C10" s="14">
        <v>-72.850999999999999</v>
      </c>
      <c r="D10" s="1" t="str">
        <f>IF($C$7,IF($C$10&lt;0,"East","West"),IF($C$10&lt;0,"östl. Länge","westl. Länge"))</f>
        <v>East</v>
      </c>
      <c r="E10" s="1"/>
      <c r="F10" s="1"/>
      <c r="G10" s="1" t="str">
        <f>IF($C$7,"Sunrises","Sonne auf")</f>
        <v>Sunrises</v>
      </c>
      <c r="H10" s="13">
        <f>0.5-ACOS(TAN(23.44*$J$1)*TAN($C$9*$J$1))/(2*PI())+($C$10/360)+($E$14-$F$12)/24</f>
        <v>0.30081705647802293</v>
      </c>
      <c r="I10" s="13">
        <f>0.5-ACOS(TAN(-23.44*$J$1)*TAN($C$9*$J$1))/(2*PI())+($C$10)/360+($E$14-$F$12)/24</f>
        <v>0.25278849907753254</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x14ac:dyDescent="0.25">
      <c r="A11" s="291"/>
      <c r="B11" s="47" t="str">
        <f>IF($C$7,"Longitude Correction (hh:mm:ss)","Längengrad-Korrektur (hh:mm:ss)")</f>
        <v>Longitude Correction (hh:mm:ss)</v>
      </c>
      <c r="C11" s="47"/>
      <c r="D11" s="77">
        <f>IF($C$10-$C$8&lt;0,($C$8-$C$10)/360,($C$10-$C$8)/360)</f>
        <v>2.680277777777778E-2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x14ac:dyDescent="0.25">
      <c r="A12" s="291"/>
      <c r="B12" s="47" t="str">
        <f>IF($C$7,"Draw Chart 'EoT' for Year ","Tabelle 'EoT' für das Jahr ")</f>
        <v xml:space="preserve">Draw Chart 'EoT' for Year </v>
      </c>
      <c r="C12" s="47"/>
      <c r="D12" s="79">
        <v>2015</v>
      </c>
      <c r="E12" s="22">
        <f>D12</f>
        <v>2015</v>
      </c>
      <c r="F12" s="21">
        <f>$C$8/15</f>
        <v>-5.5</v>
      </c>
      <c r="G12" s="23" t="str">
        <f>IF($C$7,"= Time Zone","= Zeitzone")</f>
        <v>= Time Zone</v>
      </c>
      <c r="H12" s="5"/>
      <c r="I12" s="75"/>
      <c r="J12" s="204">
        <f>SIN($K$21)*SIN($J$9)</f>
        <v>0.10401679625448715</v>
      </c>
      <c r="K12" s="204">
        <f>COS($K$21)*COS($J$9)</f>
        <v>0.8959271968845568</v>
      </c>
      <c r="L12" s="84"/>
      <c r="M12" s="179">
        <f t="shared" si="0"/>
        <v>15</v>
      </c>
      <c r="N12" s="179">
        <v>15</v>
      </c>
      <c r="O12" s="84"/>
      <c r="P12" s="86"/>
      <c r="Q12" s="86"/>
      <c r="R12" s="86"/>
      <c r="S12" s="86"/>
      <c r="T12" s="86"/>
      <c r="U12" s="86"/>
      <c r="V12" s="86"/>
      <c r="W12" s="86"/>
      <c r="X12" s="86"/>
      <c r="Y12" s="86"/>
      <c r="Z12" s="86"/>
      <c r="AJ12" s="228">
        <f>SIN($K$21)*SIN($J$9)</f>
        <v>0.10401679625448715</v>
      </c>
      <c r="AK12" s="228">
        <f>COS($K$21)*COS($J$9)</f>
        <v>0.8959271968845568</v>
      </c>
      <c r="AL12" s="9"/>
      <c r="AM12" s="179">
        <f t="shared" si="1"/>
        <v>15</v>
      </c>
      <c r="AN12" s="179">
        <v>15</v>
      </c>
    </row>
    <row r="13" spans="1:40" ht="15.75" thickBot="1" x14ac:dyDescent="0.25">
      <c r="A13" s="291"/>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x14ac:dyDescent="0.25">
      <c r="A14" s="291"/>
      <c r="B14" t="str">
        <f>IF($C$7,"Show DST (Column B, Rise, Set) : 1=yes, 0=no","Mit Sommerzeit (Spalte B, Auf-, Untergang) : 1=ja, 0=nein")</f>
        <v>Show DST (Column B, Rise, Set) : 1=yes, 0=no</v>
      </c>
      <c r="C14" s="15"/>
      <c r="E14" s="22">
        <v>0</v>
      </c>
      <c r="G14" s="3"/>
      <c r="H14" s="3"/>
      <c r="I14" s="75"/>
      <c r="J14" s="207">
        <f>$G$17</f>
        <v>0.6328060840299925</v>
      </c>
      <c r="K14" s="210">
        <f>$C$17</f>
        <v>2</v>
      </c>
      <c r="L14" s="84"/>
      <c r="M14" s="179">
        <f t="shared" si="0"/>
        <v>17</v>
      </c>
      <c r="N14" s="179">
        <v>17</v>
      </c>
      <c r="O14" s="84"/>
      <c r="P14" s="87"/>
      <c r="Q14" s="86"/>
      <c r="R14" s="86"/>
      <c r="S14" s="86"/>
      <c r="T14" s="86"/>
      <c r="U14" s="86"/>
      <c r="V14" s="86"/>
      <c r="W14" s="86"/>
      <c r="X14" s="86"/>
      <c r="Y14" s="86"/>
      <c r="Z14" s="86"/>
      <c r="AJ14" s="231">
        <f>$G$17</f>
        <v>0.6328060840299925</v>
      </c>
      <c r="AK14" s="234">
        <f>$C$17</f>
        <v>2</v>
      </c>
      <c r="AL14" s="9"/>
      <c r="AM14" s="179">
        <f t="shared" si="1"/>
        <v>17</v>
      </c>
      <c r="AN14" s="179">
        <v>17</v>
      </c>
    </row>
    <row r="15" spans="1:40" ht="15.75" thickBot="1" x14ac:dyDescent="0.25">
      <c r="A15" s="291"/>
      <c r="B15" t="str">
        <f>IF($C$7,"E/W-SemiAxis =","O/W-Halbachse =")</f>
        <v>E/W-SemiAxis =</v>
      </c>
      <c r="C15" s="11">
        <v>2</v>
      </c>
      <c r="E15" s="330" t="str">
        <f>IF($C$7,"Focus c =","Brennpkunkt  c = ")</f>
        <v>Focus c =</v>
      </c>
      <c r="F15" s="330"/>
      <c r="G15" s="16">
        <f>SQRT(ABS(C15^2-C16^2))</f>
        <v>1.8896578341317469</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x14ac:dyDescent="0.25">
      <c r="A16" s="291"/>
      <c r="B16" s="1" t="str">
        <f>IF($C$7,"N/S-SemiAxis =","N/S-Halbachse =")</f>
        <v>N/S-SemiAxis =</v>
      </c>
      <c r="C16" s="17">
        <f>$C$15*COS(($D$18-$C$9)*$J$1)/SIN($K$18)</f>
        <v>0.65512843771623541</v>
      </c>
      <c r="D16" s="193"/>
      <c r="E16" s="313" t="str">
        <f>IF($C$7,"String Length 2a+2c =","Strecke 2a+2c =")</f>
        <v>String Length 2a+2c =</v>
      </c>
      <c r="F16" s="313"/>
      <c r="G16" s="1">
        <f>IF(C15&gt;C16,(C15+G15)*2,(C16+G15)*2)</f>
        <v>7.7793156682634939</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x14ac:dyDescent="0.25">
      <c r="A17" s="291"/>
      <c r="B17" s="1" t="str">
        <f>IF($C$7,"Gnomon Height =","Gnomon Höhe =")</f>
        <v>Gnomon Height =</v>
      </c>
      <c r="C17" s="19">
        <v>2</v>
      </c>
      <c r="D17" s="44"/>
      <c r="E17" s="314" t="str">
        <f>IF($C$7,"Position Yo = ","Standpunkt Yo = ")</f>
        <v xml:space="preserve">Position Yo = </v>
      </c>
      <c r="F17" s="315"/>
      <c r="G17" s="48">
        <f>$C$15*TAN($G$20*$J$1)*SIN(($K$18-$J$9))/SIN($K$18)</f>
        <v>0.6328060840299925</v>
      </c>
      <c r="H17" s="192"/>
      <c r="I17" s="215">
        <f>$D$109</f>
        <v>-0.81929471169568935</v>
      </c>
      <c r="J17" s="204" t="str">
        <f>IF($C$7,"East","Ost")</f>
        <v>East</v>
      </c>
      <c r="K17" s="204">
        <v>0</v>
      </c>
      <c r="L17" s="204">
        <f>$G$17+$C$17*COS(($D$18-$D$19)*$J$1)</f>
        <v>0.63280608402999261</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0.63280608402999261</v>
      </c>
      <c r="AM17" s="179">
        <f t="shared" si="1"/>
        <v>20</v>
      </c>
      <c r="AN17" s="179">
        <v>20</v>
      </c>
    </row>
    <row r="18" spans="1:42" ht="15.75" thickBot="1" x14ac:dyDescent="0.25">
      <c r="A18" s="291"/>
      <c r="B18" s="351" t="str">
        <f>IF($C$7,"Gnomon Inclination =","Gnomon Neigung =")</f>
        <v>Gnomon Inclination =</v>
      </c>
      <c r="C18" s="352"/>
      <c r="D18" s="19">
        <v>90</v>
      </c>
      <c r="E18" s="83"/>
      <c r="F18" s="83" t="str">
        <f>IF($C$7,"Minimal Height =","Minimale Höhe =")</f>
        <v>Minimal Height =</v>
      </c>
      <c r="G18" s="49">
        <f>COS(($C$9-23.44)*$J$1)/SIN($K$18)/COS(23.44*$J$1)*$C$15</f>
        <v>2.1737004024779845</v>
      </c>
      <c r="H18" s="3"/>
      <c r="I18" s="163" t="s">
        <v>28</v>
      </c>
      <c r="J18" s="204">
        <f>COS($J$9)*SIN(G20*$J$1)</f>
        <v>0.30002689947145045</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x14ac:dyDescent="0.25">
      <c r="A19" s="291"/>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0.31061040480492824</v>
      </c>
      <c r="L19" s="163" t="s">
        <v>29</v>
      </c>
      <c r="M19" s="179" t="str">
        <f t="shared" si="0"/>
        <v/>
      </c>
      <c r="N19" s="179">
        <v>22</v>
      </c>
      <c r="O19" s="84"/>
      <c r="P19" s="86"/>
      <c r="Q19" s="86"/>
      <c r="R19" s="86"/>
      <c r="S19" s="86"/>
      <c r="T19" s="86"/>
      <c r="U19" s="86"/>
      <c r="V19" s="86"/>
      <c r="W19" s="86"/>
      <c r="X19" s="86"/>
      <c r="Y19" s="86"/>
      <c r="Z19" s="86"/>
      <c r="AJ19" s="236"/>
      <c r="AK19" s="228">
        <f>SIN($J$9)*COS($G$20*$J$1)</f>
        <v>0.31061040480492824</v>
      </c>
      <c r="AL19" s="9" t="s">
        <v>29</v>
      </c>
      <c r="AM19" s="179" t="str">
        <f t="shared" si="1"/>
        <v/>
      </c>
      <c r="AN19" s="179">
        <v>22</v>
      </c>
    </row>
    <row r="20" spans="1:42" ht="15.75" thickBot="1" x14ac:dyDescent="0.25">
      <c r="A20" s="291"/>
      <c r="B20" s="276" t="str">
        <f>IF($C$7,"Shadow Path for Date (dd-mm-yy)","Schattenweg für Datum (dd-mm-jj)")</f>
        <v>Shadow Path for Date (dd-mm-yy)</v>
      </c>
      <c r="C20" s="277"/>
      <c r="D20" s="271">
        <v>42215</v>
      </c>
      <c r="E20" s="296" t="str">
        <f>IF($C$7,"Sun Declination dek0:","Sonne Deklination dek0:")</f>
        <v>Sun Declination dek0:</v>
      </c>
      <c r="F20" s="297"/>
      <c r="G20" s="49">
        <f>ASIN(SIN(K79*$J$1)*SIN(P79*$J$1))/$J$1</f>
        <v>18.514598491013587</v>
      </c>
      <c r="H20" s="90">
        <f>0.5-ACOS(TAN(-$G$20*$J$1)*TAN($C$9*$J$1))/(2*PI())+($C$10)/360+($E$14-$F$12)/24</f>
        <v>0.25828318666088135</v>
      </c>
      <c r="I20" s="90">
        <f>ACOS(TAN(-$G$20*$J$1)*TAN($C$9*$J$1))/(2*PI())+($C$10)/360+0.5+($E$14-$F$12)/24</f>
        <v>0.79532236889467411</v>
      </c>
      <c r="J20" s="224">
        <f>ACOS(SIN($G$20*$J$1)/COS($C$9*$J$1))/$J$1</f>
        <v>70.361248477599844</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x14ac:dyDescent="0.25">
      <c r="A21" s="291"/>
      <c r="B21" s="300" t="str">
        <f>IF($C$7,"Rise/Set Marks for Declination","Auf-/Untergang für Deklination")</f>
        <v>Rise/Set Marks for Declination</v>
      </c>
      <c r="C21" s="301"/>
      <c r="D21" s="50">
        <v>-23.44</v>
      </c>
      <c r="E21" s="298" t="str">
        <f>IF($C$7,"SeasonMarker on E/W-axis:","Auf-/Untergangspunkt:")</f>
        <v>SeasonMarker on E/W-axis:</v>
      </c>
      <c r="F21" s="299"/>
      <c r="G21" s="51">
        <f>$D$108</f>
        <v>1.7651180818649603</v>
      </c>
      <c r="H21" s="124">
        <f>0.5-ACOS(TAN(-$J$3*$J$1)*TAN($C$9*$J$1))/(2*PI())+($C$10)/360+($E$14-$F$12)/24</f>
        <v>0.30081705647802293</v>
      </c>
      <c r="I21" s="124">
        <f>ACOS(TAN(-$J$3*$J$1)*TAN($C$9*$J$1))/(2*PI())+($C$10)/360+0.5+($E$14-$F$12)/24</f>
        <v>0.75278849907753254</v>
      </c>
      <c r="J21" s="225">
        <f>ACOS(SIN($D$21*$J$1)/COS($C$9*$J$1))/$J$1</f>
        <v>114.89877625901913</v>
      </c>
      <c r="K21" s="204">
        <f>$J$1*$G$20</f>
        <v>0.32314070335296086</v>
      </c>
      <c r="L21" s="213">
        <f>$C$15*TAN($D$21*$J$1)*SIN(($K$18-$J$9))/SIN($K$18)</f>
        <v>-0.81929471169568935</v>
      </c>
      <c r="M21" s="40"/>
      <c r="N21" s="40"/>
      <c r="O21" s="91"/>
      <c r="P21" s="86"/>
      <c r="Q21" s="86"/>
      <c r="R21" s="88"/>
      <c r="S21" s="86"/>
      <c r="T21" s="86"/>
      <c r="U21" s="86"/>
      <c r="V21" s="86"/>
      <c r="W21" s="86"/>
      <c r="X21" s="86"/>
      <c r="Y21" s="86"/>
      <c r="Z21" s="86"/>
      <c r="AJ21" s="40"/>
      <c r="AK21" s="228">
        <f>$J$1*$G$20</f>
        <v>0.32314070335296086</v>
      </c>
      <c r="AL21" s="40">
        <f>$C$15*TAN($D$21*$J$1)*SIN(($K$18-$J$9))/SIN($K$18)</f>
        <v>-0.81929471169568935</v>
      </c>
      <c r="AM21" s="40"/>
      <c r="AN21" s="40"/>
    </row>
    <row r="22" spans="1:42" s="127" customFormat="1" ht="19.149999999999999" customHeight="1" thickTop="1" thickBot="1" x14ac:dyDescent="0.25">
      <c r="A22" s="291"/>
      <c r="B22" s="131" t="str">
        <f>IF($C$7,"Begin Time =","Startzeit =")</f>
        <v>Begin Time =</v>
      </c>
      <c r="C22" s="79">
        <v>5</v>
      </c>
      <c r="D22" s="131" t="str">
        <f>IF($C$7,"End Time =","Endzeit =")</f>
        <v>End Time =</v>
      </c>
      <c r="E22" s="79">
        <v>20</v>
      </c>
      <c r="F22" s="302" t="str">
        <f>IF(($C$22+29*$A$26)&lt;$E$22,IF($C$7,"Cannot display so many lines!","Zu viele Stundenmarkierungen"),"")</f>
        <v/>
      </c>
      <c r="G22" s="303"/>
      <c r="H22" s="303"/>
      <c r="I22" s="349"/>
      <c r="J22" s="349"/>
      <c r="K22" s="349"/>
      <c r="L22" s="349"/>
      <c r="M22" s="158"/>
      <c r="N22" s="158"/>
      <c r="O22" s="128"/>
      <c r="P22" s="128"/>
      <c r="Q22" s="128"/>
      <c r="R22" s="128"/>
      <c r="S22" s="126"/>
      <c r="T22" s="126"/>
      <c r="U22" s="126"/>
      <c r="V22" s="126"/>
      <c r="W22" s="126"/>
      <c r="X22" s="126"/>
      <c r="Y22" s="126"/>
      <c r="Z22" s="126"/>
      <c r="AJ22" s="353" t="str">
        <f>IF($C$7,"Standing on the point of the 8-slope shows for times","Der Standpunkt auf der 8er-Schleife ergibt für die Zeiten")</f>
        <v>Standing on the point of the 8-slope shows for times</v>
      </c>
      <c r="AK22" s="353"/>
      <c r="AL22" s="353"/>
      <c r="AM22" s="353"/>
      <c r="AN22" s="353"/>
      <c r="AO22" s="353"/>
      <c r="AP22" s="353"/>
    </row>
    <row r="23" spans="1:42" s="125" customFormat="1" ht="18" customHeight="1" thickBot="1" x14ac:dyDescent="0.25">
      <c r="A23" s="292"/>
      <c r="B23" s="130"/>
      <c r="C23" s="328" t="str">
        <f>IF($C$7,"Marks per Hour =","Markierungen pro Std. =")</f>
        <v>Marks per Hour =</v>
      </c>
      <c r="D23" s="329"/>
      <c r="E23" s="79">
        <v>1</v>
      </c>
      <c r="F23" s="304"/>
      <c r="G23" s="305"/>
      <c r="H23" s="305"/>
      <c r="I23" s="350"/>
      <c r="J23" s="350"/>
      <c r="K23" s="350"/>
      <c r="L23" s="350"/>
      <c r="M23" s="159"/>
      <c r="N23" s="159"/>
      <c r="O23" s="129"/>
      <c r="P23" s="129"/>
      <c r="Q23" s="129"/>
      <c r="R23" s="129"/>
      <c r="S23" s="248"/>
      <c r="T23" s="249" t="str">
        <f>IF($C$7,"Calculation for ","Berechnung für ")</f>
        <v xml:space="preserve">Calculation for </v>
      </c>
      <c r="U23" s="250">
        <f>$D$12</f>
        <v>2015</v>
      </c>
      <c r="AJ23" s="354" t="str">
        <f>IF($C$7,"near noon approximated mean time!","nahe Mittag einen Näherungswert für die mittlere Zeit!")</f>
        <v>near noon approximated mean time!</v>
      </c>
      <c r="AK23" s="354"/>
      <c r="AL23" s="354"/>
      <c r="AM23" s="354"/>
      <c r="AN23" s="354"/>
      <c r="AO23" s="354"/>
      <c r="AP23" s="354"/>
    </row>
    <row r="24" spans="1:42" x14ac:dyDescent="0.2">
      <c r="A24" s="294" t="str">
        <f>IF($C$7,IF(E13=0,"True Local Time","Time of Zone Meridian"),IF(E13=0,"wahre Ortszeit","Zonenzeit"))</f>
        <v>Time of Zone Meridian</v>
      </c>
      <c r="B24" s="294" t="str">
        <f>IF($C$7,"True Local Time","wahre Ortszeit")</f>
        <v>True Local Time</v>
      </c>
      <c r="C24" s="295" t="str">
        <f>IF($C$7,"Time Angle","Stundenwinkel")</f>
        <v>Time Angle</v>
      </c>
      <c r="D24" s="295" t="str">
        <f>C24</f>
        <v>Time Angle</v>
      </c>
      <c r="E24" s="309" t="str">
        <f>IF($C$7,"Co-ordinates of Hour Points","Stundenmarkierung")</f>
        <v>Co-ordinates of Hour Points</v>
      </c>
      <c r="F24" s="310"/>
      <c r="G24" s="307" t="str">
        <f>IF($C$7,"Distance from Center Point","Abstand zu O (=Zentrum)")</f>
        <v>Distance from Center Point</v>
      </c>
      <c r="H24" s="307" t="str">
        <f>IF($C$7,"Distance from Noon Markt","Abstand vom Mittagspunkt")</f>
        <v>Distance from Noon Markt</v>
      </c>
      <c r="I24" s="357"/>
      <c r="J24" s="358"/>
      <c r="O24" s="168"/>
      <c r="P24" s="168"/>
      <c r="Q24" s="168"/>
      <c r="R24" s="169">
        <v>36526</v>
      </c>
      <c r="S24" s="245" t="str">
        <f>$B$62</f>
        <v>Date</v>
      </c>
      <c r="T24" s="246" t="str">
        <f>$D$62</f>
        <v>Declination</v>
      </c>
      <c r="U24" s="247" t="str">
        <f>$E$62</f>
        <v xml:space="preserve"> EQT [min.]</v>
      </c>
      <c r="V24" s="71"/>
    </row>
    <row r="25" spans="1:42" x14ac:dyDescent="0.2">
      <c r="A25" s="294"/>
      <c r="B25" s="294"/>
      <c r="C25" s="294"/>
      <c r="D25" s="294"/>
      <c r="E25" s="311"/>
      <c r="F25" s="312"/>
      <c r="G25" s="307"/>
      <c r="H25" s="307"/>
      <c r="I25" s="357"/>
      <c r="J25" s="358"/>
      <c r="K25" s="356" t="str">
        <f>IF($C$7,"Shadow Positions for Declination ","Schatten  bei  Sonnendeklination ")</f>
        <v xml:space="preserve">Shadow Positions for Declination </v>
      </c>
      <c r="L25" s="356"/>
      <c r="M25" s="356"/>
      <c r="N25" s="288">
        <f>$G$20</f>
        <v>18.514598491013587</v>
      </c>
      <c r="O25" s="168"/>
      <c r="P25" s="168"/>
      <c r="Q25" s="170"/>
      <c r="R25" s="170">
        <f>DATEVALUE(S25-$R$24)</f>
        <v>5479</v>
      </c>
      <c r="S25" s="251">
        <f>DATE(E12,1,1)</f>
        <v>42005</v>
      </c>
      <c r="T25" s="198">
        <v>-23.005773582321407</v>
      </c>
      <c r="U25" s="199">
        <v>-3.4289869774418986</v>
      </c>
      <c r="W25" s="92"/>
      <c r="X25" s="92"/>
      <c r="Y25" s="92"/>
      <c r="Z25" s="92"/>
      <c r="AA25" s="92"/>
      <c r="AB25" s="92"/>
    </row>
    <row r="26" spans="1:42" s="279" customFormat="1" ht="18" customHeight="1" x14ac:dyDescent="0.2">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5489</v>
      </c>
      <c r="S26" s="251">
        <f>S25+10</f>
        <v>42015</v>
      </c>
      <c r="T26" s="198">
        <v>-21.812820983298522</v>
      </c>
      <c r="U26" s="199">
        <v>-7.8102587161777173</v>
      </c>
      <c r="W26" s="287"/>
      <c r="X26" s="287"/>
      <c r="Y26" s="287"/>
      <c r="Z26" s="287"/>
      <c r="AA26" s="287"/>
      <c r="AB26" s="287"/>
    </row>
    <row r="27" spans="1:42" x14ac:dyDescent="0.2">
      <c r="C27" s="1"/>
      <c r="D27" s="1"/>
      <c r="E27" s="103"/>
      <c r="F27" s="103"/>
      <c r="G27" s="172"/>
      <c r="H27" s="173"/>
      <c r="I27" s="214"/>
      <c r="O27" s="72"/>
      <c r="P27" s="72"/>
      <c r="Q27" s="182"/>
      <c r="R27" s="170">
        <f t="shared" si="2"/>
        <v>5499</v>
      </c>
      <c r="S27" s="251">
        <f>S26+10</f>
        <v>42025</v>
      </c>
      <c r="T27" s="198">
        <v>-19.915228694018154</v>
      </c>
      <c r="U27" s="199">
        <v>-11.232453393627591</v>
      </c>
      <c r="W27" s="93"/>
      <c r="X27" s="93"/>
      <c r="Y27" s="93"/>
      <c r="Z27" s="93"/>
      <c r="AA27" s="93"/>
      <c r="AB27" s="93"/>
    </row>
    <row r="28" spans="1:42" x14ac:dyDescent="0.2">
      <c r="A28" s="132">
        <f>$C$22</f>
        <v>5</v>
      </c>
      <c r="B28" s="18">
        <f>A28/24+$E$13*(($C$10/360)-($F$12)/24+$E$14/24)</f>
        <v>0.2351361111111111</v>
      </c>
      <c r="C28" s="3">
        <f>($A28-12)*15+$E$13*($C$8-$C$10)</f>
        <v>-114.649</v>
      </c>
      <c r="D28" s="3">
        <f>C28*$J$1</f>
        <v>-2.001002534118979</v>
      </c>
      <c r="E28" s="53">
        <f>SIN($D28)*$C$15</f>
        <v>-1.8177595370751236</v>
      </c>
      <c r="F28" s="53">
        <f>COS($D28)*$C$16</f>
        <v>-0.27322670597515197</v>
      </c>
      <c r="G28" s="174">
        <f>SQRT($F28*$F28+$E28*$E28)</f>
        <v>1.8381791445573523</v>
      </c>
      <c r="H28" s="175">
        <f>SQRT($E28*$E28+($C$16-F28)^2)</f>
        <v>2.0411009302447112</v>
      </c>
      <c r="I28" s="3"/>
      <c r="J28">
        <f>ASIN($J$12+($K$12*COS($D28)))</f>
        <v>-0.27301606394580574</v>
      </c>
      <c r="K28" s="6">
        <f>$C$17*SIN(($D$18-$D$19)*$J$1)/TAN($J28)</f>
        <v>-7.1426546494445207</v>
      </c>
      <c r="L28">
        <f>IF($O28&gt;0,$P28,PI()-$P28)</f>
        <v>4.2499951177357351</v>
      </c>
      <c r="M28">
        <f t="shared" ref="M28:M34" si="3">IF($J28&gt;0,IF($K28&lt;15,$K28*SIN($L28),$M29),$M29)</f>
        <v>-10.066851788598461</v>
      </c>
      <c r="N28">
        <f t="shared" ref="N28:N34" si="4">IF($J28&gt;0,IF(K28&lt;15,$K28*COS($L28)+$L$17,$N29),$N29)</f>
        <v>-2.2574536797819023</v>
      </c>
      <c r="O28" s="163">
        <f>COS(D28)*$K$19-$J$18</f>
        <v>-0.429569524795889</v>
      </c>
      <c r="P28" s="170">
        <f t="shared" ref="P28:P36" si="5">ASIN(COS($K$21)*SIN($D28)/COS($J28))</f>
        <v>-1.1084024641459422</v>
      </c>
      <c r="Q28" s="170">
        <f>IF($E28=0,90,ATAN($F28/$E28)/$J$1)</f>
        <v>8.5481131645184671</v>
      </c>
      <c r="R28" s="170">
        <f t="shared" si="2"/>
        <v>5510</v>
      </c>
      <c r="S28" s="251">
        <f>S27+11</f>
        <v>42036</v>
      </c>
      <c r="T28" s="198">
        <v>-17.117957759780666</v>
      </c>
      <c r="U28" s="199">
        <v>-13.548549563478849</v>
      </c>
      <c r="AL28" s="2"/>
    </row>
    <row r="29" spans="1:42" x14ac:dyDescent="0.2">
      <c r="A29" s="132">
        <f t="shared" ref="A29:A34" si="6">IF($A28+$A$26&gt;$E$22,$A28,$A28+$A$26)</f>
        <v>6</v>
      </c>
      <c r="B29" s="18">
        <f>A29/24+$E$13*(($C$10/360)-($F$12)/24+$E$14/24)</f>
        <v>0.27680277777777773</v>
      </c>
      <c r="C29" s="3">
        <f t="shared" ref="C29:C58" si="7">($A29-12)*15+$E$13*($C$8-$C$10)</f>
        <v>-99.649000000000001</v>
      </c>
      <c r="D29" s="3">
        <f t="shared" ref="D29:D58" si="8">C29*$J$1</f>
        <v>-1.7392031463198294</v>
      </c>
      <c r="E29" s="53">
        <f t="shared" ref="E29:E40" si="9">SIN($D29)*$C$15</f>
        <v>-1.9717061079871852</v>
      </c>
      <c r="F29" s="53">
        <f t="shared" ref="F29:F41" si="10">COS($D29)*$C$16</f>
        <v>-0.10980733569367157</v>
      </c>
      <c r="G29" s="174">
        <f t="shared" ref="G29:G58" si="11">SQRT($F29*$F29+$E29*$E29)</f>
        <v>1.974761410207855</v>
      </c>
      <c r="H29" s="175">
        <f t="shared" ref="H29:H58" si="12">SQRT($E29*$E29+($C$16-F29)^2)</f>
        <v>2.1148881090299283</v>
      </c>
      <c r="I29" s="3"/>
      <c r="J29">
        <f t="shared" ref="J29:J39" si="13">ASIN($J$12+($K$12*COS($D29)))</f>
        <v>-4.616768091733274E-2</v>
      </c>
      <c r="K29" s="6">
        <f t="shared" ref="K29:K58" si="14">$C$17*SIN(($D$18-$D$19)*$J$1)/TAN($J29)</f>
        <v>-43.289565091676316</v>
      </c>
      <c r="L29">
        <f t="shared" ref="L29:L58" si="15">IF($O29&gt;0,$P29,PI()-$P29)</f>
        <v>4.3521857055107596</v>
      </c>
      <c r="M29">
        <f t="shared" si="3"/>
        <v>-10.066851788598461</v>
      </c>
      <c r="N29">
        <f t="shared" si="4"/>
        <v>-2.2574536797819023</v>
      </c>
      <c r="O29" s="163">
        <f t="shared" ref="O29:O58" si="16">COS(D29)*$K$19-$J$18</f>
        <v>-0.35208890598311915</v>
      </c>
      <c r="P29" s="170">
        <f t="shared" si="5"/>
        <v>-1.2105930519209669</v>
      </c>
      <c r="Q29" s="170">
        <f t="shared" ref="Q29:Q58" si="17">IF($E29=0,90,ATAN($F29/$E29)/$J$1)</f>
        <v>3.1875970204159731</v>
      </c>
      <c r="R29" s="170">
        <f t="shared" si="2"/>
        <v>5520</v>
      </c>
      <c r="S29" s="251">
        <f>S28+10</f>
        <v>42046</v>
      </c>
      <c r="T29" s="198">
        <v>-14.044293129837797</v>
      </c>
      <c r="U29" s="199">
        <v>-14.233751957218884</v>
      </c>
      <c r="AL29" s="2"/>
    </row>
    <row r="30" spans="1:42" x14ac:dyDescent="0.2">
      <c r="A30" s="132">
        <f t="shared" si="6"/>
        <v>7</v>
      </c>
      <c r="B30" s="18">
        <f>A30/24+$E$13*(($C$10/360)-($F$12)/24+$E$14/24)</f>
        <v>0.31846944444444447</v>
      </c>
      <c r="C30" s="3">
        <f t="shared" si="7"/>
        <v>-84.649000000000001</v>
      </c>
      <c r="D30" s="3">
        <f t="shared" si="8"/>
        <v>-1.4774037585206801</v>
      </c>
      <c r="E30" s="53">
        <f t="shared" si="9"/>
        <v>-1.9912841660383258</v>
      </c>
      <c r="F30" s="53">
        <f t="shared" si="10"/>
        <v>6.1095223050130203E-2</v>
      </c>
      <c r="G30" s="174">
        <f t="shared" si="11"/>
        <v>1.9922211865640058</v>
      </c>
      <c r="H30" s="175">
        <f t="shared" si="12"/>
        <v>2.0780009841290976</v>
      </c>
      <c r="I30" s="3"/>
      <c r="J30">
        <f>ASIN($J$12+($K$12*COS($D30)))</f>
        <v>0.18868577346882021</v>
      </c>
      <c r="K30" s="6">
        <f t="shared" si="14"/>
        <v>10.473543165324619</v>
      </c>
      <c r="L30">
        <f t="shared" si="15"/>
        <v>4.4328025453979629</v>
      </c>
      <c r="M30">
        <f t="shared" si="3"/>
        <v>-10.066851788598461</v>
      </c>
      <c r="N30">
        <f t="shared" si="4"/>
        <v>-2.2574536797819023</v>
      </c>
      <c r="O30" s="163">
        <f t="shared" si="16"/>
        <v>-0.27106034746311281</v>
      </c>
      <c r="P30" s="170">
        <f t="shared" si="5"/>
        <v>-1.29120989180817</v>
      </c>
      <c r="Q30" s="170">
        <f t="shared" si="17"/>
        <v>-1.7573587530082417</v>
      </c>
      <c r="R30" s="170">
        <f t="shared" si="2"/>
        <v>5530</v>
      </c>
      <c r="S30" s="251">
        <f>S29+10</f>
        <v>42056</v>
      </c>
      <c r="T30" s="198">
        <v>-10.583007475517189</v>
      </c>
      <c r="U30" s="199">
        <v>-13.647109608257185</v>
      </c>
      <c r="AM30" s="2"/>
    </row>
    <row r="31" spans="1:42" x14ac:dyDescent="0.2">
      <c r="A31" s="132">
        <f t="shared" si="6"/>
        <v>8</v>
      </c>
      <c r="B31" s="18">
        <f t="shared" ref="B31:B58" si="18">A31/24+$E$13*(($C$10/360)-($F$12)/24+$E$14/24)</f>
        <v>0.3601361111111111</v>
      </c>
      <c r="C31" s="3">
        <f t="shared" si="7"/>
        <v>-69.649000000000001</v>
      </c>
      <c r="D31" s="3">
        <f t="shared" si="8"/>
        <v>-1.2156043707215305</v>
      </c>
      <c r="E31" s="53">
        <f t="shared" si="9"/>
        <v>-1.8751594989266311</v>
      </c>
      <c r="F31" s="53">
        <f t="shared" si="10"/>
        <v>0.22783424330769561</v>
      </c>
      <c r="G31" s="174">
        <f t="shared" si="11"/>
        <v>1.8889498640351374</v>
      </c>
      <c r="H31" s="175">
        <f t="shared" si="12"/>
        <v>1.9232273591518028</v>
      </c>
      <c r="I31" s="3"/>
      <c r="J31">
        <f t="shared" si="13"/>
        <v>0.42859545383346687</v>
      </c>
      <c r="K31" s="6">
        <f t="shared" si="14"/>
        <v>4.3771132777753401</v>
      </c>
      <c r="L31">
        <f t="shared" si="15"/>
        <v>4.4996891012419411</v>
      </c>
      <c r="M31">
        <f t="shared" si="3"/>
        <v>-4.2784729915113591</v>
      </c>
      <c r="N31">
        <f t="shared" si="4"/>
        <v>-0.29120122513212787</v>
      </c>
      <c r="O31" s="163">
        <f t="shared" si="16"/>
        <v>-0.19200581159298408</v>
      </c>
      <c r="P31" s="170">
        <f t="shared" si="5"/>
        <v>-1.3580964476521475</v>
      </c>
      <c r="Q31" s="170">
        <f t="shared" si="17"/>
        <v>-6.9275531557645067</v>
      </c>
      <c r="R31" s="170">
        <f t="shared" si="2"/>
        <v>5538</v>
      </c>
      <c r="S31" s="251">
        <f>IF(MOD(YEAR(S30),4)=0,S30+9,S30+8)</f>
        <v>42064</v>
      </c>
      <c r="T31" s="198">
        <v>-7.6121405656675369</v>
      </c>
      <c r="U31" s="199">
        <v>-12.39917110056019</v>
      </c>
      <c r="AM31" s="2"/>
    </row>
    <row r="32" spans="1:42" x14ac:dyDescent="0.2">
      <c r="A32" s="132">
        <f t="shared" si="6"/>
        <v>9</v>
      </c>
      <c r="B32" s="18">
        <f t="shared" si="18"/>
        <v>0.40180277777777773</v>
      </c>
      <c r="C32" s="3">
        <f t="shared" si="7"/>
        <v>-54.649000000000001</v>
      </c>
      <c r="D32" s="3">
        <f t="shared" si="8"/>
        <v>-0.95380498292238114</v>
      </c>
      <c r="E32" s="53">
        <f t="shared" si="9"/>
        <v>-1.6312458108106771</v>
      </c>
      <c r="F32" s="53">
        <f t="shared" si="10"/>
        <v>0.37904673639773068</v>
      </c>
      <c r="G32" s="174">
        <f t="shared" si="11"/>
        <v>1.6747057424100373</v>
      </c>
      <c r="H32" s="175">
        <f t="shared" si="12"/>
        <v>1.6544437134850807</v>
      </c>
      <c r="I32" s="3"/>
      <c r="J32">
        <f t="shared" si="13"/>
        <v>0.67178715675647505</v>
      </c>
      <c r="K32" s="6">
        <f t="shared" si="14"/>
        <v>2.5151942955699038</v>
      </c>
      <c r="L32">
        <f t="shared" si="15"/>
        <v>4.5580642194419294</v>
      </c>
      <c r="M32">
        <f t="shared" si="3"/>
        <v>-2.4853025922041825</v>
      </c>
      <c r="N32">
        <f t="shared" si="4"/>
        <v>0.24618822405640672</v>
      </c>
      <c r="O32" s="163">
        <f t="shared" si="16"/>
        <v>-0.12031273434848477</v>
      </c>
      <c r="P32" s="170">
        <f t="shared" si="5"/>
        <v>-1.4164715658521365</v>
      </c>
      <c r="Q32" s="170">
        <f t="shared" si="17"/>
        <v>-13.081471084896592</v>
      </c>
      <c r="R32" s="170">
        <f t="shared" si="2"/>
        <v>5548</v>
      </c>
      <c r="S32" s="251">
        <f>S31+10</f>
        <v>42074</v>
      </c>
      <c r="T32" s="198">
        <v>-3.7402901160639046</v>
      </c>
      <c r="U32" s="199">
        <v>-10.101980182850079</v>
      </c>
      <c r="AM32" s="2"/>
    </row>
    <row r="33" spans="1:39" x14ac:dyDescent="0.2">
      <c r="A33" s="132">
        <f t="shared" si="6"/>
        <v>10</v>
      </c>
      <c r="B33" s="18">
        <f t="shared" si="18"/>
        <v>0.44346944444444447</v>
      </c>
      <c r="C33" s="3">
        <f t="shared" si="7"/>
        <v>-39.649000000000001</v>
      </c>
      <c r="D33" s="3">
        <f t="shared" si="8"/>
        <v>-0.69200559512323179</v>
      </c>
      <c r="E33" s="53">
        <f t="shared" si="9"/>
        <v>-1.2761654164491378</v>
      </c>
      <c r="F33" s="53">
        <f t="shared" si="10"/>
        <v>0.50442782080660975</v>
      </c>
      <c r="G33" s="174">
        <f t="shared" si="11"/>
        <v>1.3722410854308753</v>
      </c>
      <c r="H33" s="175">
        <f t="shared" si="12"/>
        <v>1.2850326245188264</v>
      </c>
      <c r="I33" s="3"/>
      <c r="J33">
        <f t="shared" si="13"/>
        <v>0.91711729319946766</v>
      </c>
      <c r="K33" s="6">
        <f t="shared" si="14"/>
        <v>1.5320517872746895</v>
      </c>
      <c r="L33">
        <f t="shared" si="15"/>
        <v>4.6121293895122069</v>
      </c>
      <c r="M33">
        <f t="shared" si="3"/>
        <v>-1.5243581539830786</v>
      </c>
      <c r="N33">
        <f t="shared" si="4"/>
        <v>0.4794604050009712</v>
      </c>
      <c r="O33" s="163">
        <f t="shared" si="16"/>
        <v>-6.0866880465415496E-2</v>
      </c>
      <c r="P33" s="170">
        <f t="shared" si="5"/>
        <v>-1.4705367359224142</v>
      </c>
      <c r="Q33" s="170">
        <f t="shared" si="17"/>
        <v>-21.567319731807423</v>
      </c>
      <c r="R33" s="170">
        <f t="shared" si="2"/>
        <v>5558</v>
      </c>
      <c r="S33" s="251">
        <f>S32+10</f>
        <v>42084</v>
      </c>
      <c r="T33" s="198">
        <v>0.20718685062565725</v>
      </c>
      <c r="U33" s="199">
        <v>-7.2841583300115493</v>
      </c>
      <c r="AM33" s="2"/>
    </row>
    <row r="34" spans="1:39" x14ac:dyDescent="0.2">
      <c r="A34" s="132">
        <f t="shared" si="6"/>
        <v>11</v>
      </c>
      <c r="B34" s="18">
        <f t="shared" si="18"/>
        <v>0.4851361111111111</v>
      </c>
      <c r="C34" s="3">
        <f t="shared" si="7"/>
        <v>-24.649000000000001</v>
      </c>
      <c r="D34" s="3">
        <f t="shared" si="8"/>
        <v>-0.43020620732408232</v>
      </c>
      <c r="E34" s="53">
        <f t="shared" si="9"/>
        <v>-0.8341164579196555</v>
      </c>
      <c r="F34" s="53">
        <f t="shared" si="10"/>
        <v>0.59543298283390655</v>
      </c>
      <c r="G34" s="174">
        <f t="shared" si="11"/>
        <v>1.0248369150352243</v>
      </c>
      <c r="H34" s="175">
        <f t="shared" si="12"/>
        <v>0.83624985064634882</v>
      </c>
      <c r="I34" s="3"/>
      <c r="J34">
        <f t="shared" si="13"/>
        <v>1.1637821239391599</v>
      </c>
      <c r="K34" s="6">
        <f t="shared" si="14"/>
        <v>0.8621719355510532</v>
      </c>
      <c r="L34">
        <f t="shared" si="15"/>
        <v>4.667613312009566</v>
      </c>
      <c r="M34">
        <f t="shared" si="3"/>
        <v>-0.86130781271640033</v>
      </c>
      <c r="N34">
        <f t="shared" si="4"/>
        <v>0.59421465744921287</v>
      </c>
      <c r="O34" s="163">
        <f t="shared" si="16"/>
        <v>-1.7719386646988911E-2</v>
      </c>
      <c r="P34" s="170">
        <f t="shared" si="5"/>
        <v>-1.5260206584197733</v>
      </c>
      <c r="Q34" s="170">
        <f t="shared" si="17"/>
        <v>-35.521095970662941</v>
      </c>
      <c r="R34" s="170">
        <f t="shared" si="2"/>
        <v>5569</v>
      </c>
      <c r="S34" s="251">
        <f>S33+11</f>
        <v>42095</v>
      </c>
      <c r="T34" s="198">
        <v>4.514295297867065</v>
      </c>
      <c r="U34" s="199">
        <v>-3.979769393993112</v>
      </c>
      <c r="AM34" s="2"/>
    </row>
    <row r="35" spans="1:39" x14ac:dyDescent="0.2">
      <c r="A35" s="132">
        <f>IF($A34+$A$26&gt;$E$22,$A34,$A34+$A$26)</f>
        <v>12</v>
      </c>
      <c r="B35" s="18">
        <f t="shared" si="18"/>
        <v>0.52680277777777773</v>
      </c>
      <c r="C35" s="3">
        <f t="shared" si="7"/>
        <v>-9.6490000000000009</v>
      </c>
      <c r="D35" s="3">
        <f t="shared" si="8"/>
        <v>-0.16840681952493286</v>
      </c>
      <c r="E35" s="53">
        <f t="shared" si="9"/>
        <v>-0.33522384122557031</v>
      </c>
      <c r="F35" s="53">
        <f t="shared" si="10"/>
        <v>0.64586037108060179</v>
      </c>
      <c r="G35" s="174">
        <f t="shared" si="11"/>
        <v>0.72767481931038336</v>
      </c>
      <c r="H35" s="175">
        <f t="shared" si="12"/>
        <v>0.33535193571111072</v>
      </c>
      <c r="I35" s="3"/>
      <c r="J35">
        <f t="shared" si="13"/>
        <v>1.4110606441661888</v>
      </c>
      <c r="K35" s="6">
        <f t="shared" si="14"/>
        <v>0.32221654244136416</v>
      </c>
      <c r="L35">
        <f t="shared" si="15"/>
        <v>-1.5318739931443861</v>
      </c>
      <c r="M35" s="191">
        <f>$K35*SIN($L35)</f>
        <v>-0.3219725025902524</v>
      </c>
      <c r="N35" s="191">
        <f>$K35*COS($L35)+$L$17</f>
        <v>0.64534433744254338</v>
      </c>
      <c r="O35" s="163">
        <f t="shared" si="16"/>
        <v>6.1893167076741418E-3</v>
      </c>
      <c r="P35" s="170">
        <f t="shared" si="5"/>
        <v>-1.5318739931443861</v>
      </c>
      <c r="Q35" s="170">
        <f t="shared" si="17"/>
        <v>-62.569128344315104</v>
      </c>
      <c r="R35" s="170">
        <f t="shared" si="2"/>
        <v>5579</v>
      </c>
      <c r="S35" s="251">
        <f>S34+10</f>
        <v>42105</v>
      </c>
      <c r="T35" s="198">
        <v>8.2906551297568942</v>
      </c>
      <c r="U35" s="199">
        <v>-1.1433607809824879</v>
      </c>
      <c r="AM35" s="2"/>
    </row>
    <row r="36" spans="1:39" x14ac:dyDescent="0.2">
      <c r="A36" s="132">
        <f>IF($A35+$A$26&gt;$E$22,$A35,$A35+$A$26)</f>
        <v>13</v>
      </c>
      <c r="B36" s="18">
        <f t="shared" si="18"/>
        <v>0.56846944444444436</v>
      </c>
      <c r="C36" s="3">
        <f t="shared" si="7"/>
        <v>5.3509999999999991</v>
      </c>
      <c r="D36" s="3">
        <f t="shared" si="8"/>
        <v>9.3392568274216561E-2</v>
      </c>
      <c r="E36" s="53">
        <f t="shared" si="9"/>
        <v>0.18651372626444648</v>
      </c>
      <c r="F36" s="53">
        <f t="shared" si="10"/>
        <v>0.65227344237288254</v>
      </c>
      <c r="G36" s="174">
        <f t="shared" si="11"/>
        <v>0.67841581180719768</v>
      </c>
      <c r="H36" s="175">
        <f t="shared" si="12"/>
        <v>0.18653557591907086</v>
      </c>
      <c r="I36" s="3"/>
      <c r="J36">
        <f t="shared" si="13"/>
        <v>1.481768240485108</v>
      </c>
      <c r="K36" s="6">
        <f t="shared" si="14"/>
        <v>0.17852809327040861</v>
      </c>
      <c r="L36">
        <f t="shared" si="15"/>
        <v>1.4667979565028828</v>
      </c>
      <c r="M36">
        <f t="shared" ref="M36:M57" si="19">IF($J36&gt;0,IF($K36&lt;15,$K36*SIN($L36),$M35),$M35)</f>
        <v>0.17756351345146992</v>
      </c>
      <c r="N36">
        <f>IF($J36&gt;0,IF(K36&lt;15,$K36*COS($L36)+$L$17,$N35),$N35)</f>
        <v>0.65133926447851198</v>
      </c>
      <c r="O36" s="163">
        <f t="shared" si="16"/>
        <v>9.2298909759537251E-3</v>
      </c>
      <c r="P36" s="170">
        <f t="shared" si="5"/>
        <v>1.4667979565028828</v>
      </c>
      <c r="Q36" s="170">
        <f t="shared" si="17"/>
        <v>74.04243252767796</v>
      </c>
      <c r="R36" s="170">
        <f t="shared" si="2"/>
        <v>5589</v>
      </c>
      <c r="S36" s="251">
        <f>S35+10</f>
        <v>42115</v>
      </c>
      <c r="T36" s="198">
        <v>11.835718791832644</v>
      </c>
      <c r="U36" s="199">
        <v>1.2232149123572587</v>
      </c>
      <c r="AM36" s="2"/>
    </row>
    <row r="37" spans="1:39" x14ac:dyDescent="0.2">
      <c r="A37" s="132">
        <f>IF($A36+$A$26&gt;$E$22,$A36,$A36+$A$26)</f>
        <v>14</v>
      </c>
      <c r="B37" s="18">
        <f t="shared" si="18"/>
        <v>0.6101361111111111</v>
      </c>
      <c r="C37" s="3">
        <f t="shared" si="7"/>
        <v>20.350999999999999</v>
      </c>
      <c r="D37" s="3">
        <f t="shared" si="8"/>
        <v>0.35519195607336601</v>
      </c>
      <c r="E37" s="53">
        <f t="shared" si="9"/>
        <v>0.69554069153804754</v>
      </c>
      <c r="F37" s="53">
        <f t="shared" si="10"/>
        <v>0.61423515650028138</v>
      </c>
      <c r="G37" s="174">
        <f t="shared" si="11"/>
        <v>0.92793409306165198</v>
      </c>
      <c r="H37" s="175">
        <f t="shared" si="12"/>
        <v>0.69674178433177991</v>
      </c>
      <c r="I37" s="3"/>
      <c r="J37">
        <f t="shared" si="13"/>
        <v>1.2346111384630807</v>
      </c>
      <c r="K37" s="6">
        <f t="shared" si="14"/>
        <v>0.69890096653621736</v>
      </c>
      <c r="L37">
        <f t="shared" si="15"/>
        <v>1.5974899719503404</v>
      </c>
      <c r="M37">
        <f t="shared" si="19"/>
        <v>0.69865198013780105</v>
      </c>
      <c r="N37">
        <f t="shared" ref="N37:N58" si="20">IF($J37&gt;0,IF(K37&lt;15,$K37*COS($L37)+$L$17,$N36),$N36)</f>
        <v>0.61415208513462283</v>
      </c>
      <c r="O37" s="163">
        <f t="shared" si="16"/>
        <v>-8.8048739537467946E-3</v>
      </c>
      <c r="P37" s="170">
        <f>ASIN(COS($K$21)*SIN($D37)/COS($J37))</f>
        <v>1.5441026816394527</v>
      </c>
      <c r="Q37" s="170">
        <f t="shared" si="17"/>
        <v>41.447869961437235</v>
      </c>
      <c r="R37" s="170">
        <f t="shared" si="2"/>
        <v>5599</v>
      </c>
      <c r="S37" s="251">
        <f>S36+10</f>
        <v>42125</v>
      </c>
      <c r="T37" s="198">
        <v>15.05638156710406</v>
      </c>
      <c r="U37" s="199">
        <v>2.8700696508811085</v>
      </c>
      <c r="AM37" s="2"/>
    </row>
    <row r="38" spans="1:39" x14ac:dyDescent="0.2">
      <c r="A38" s="132">
        <f>IF($A37+$A$26&gt;$E$22,$A37,$A37+$A$26)</f>
        <v>15</v>
      </c>
      <c r="B38" s="18">
        <f t="shared" si="18"/>
        <v>0.65180277777777773</v>
      </c>
      <c r="C38" s="3">
        <f t="shared" si="7"/>
        <v>35.350999999999999</v>
      </c>
      <c r="D38" s="3">
        <f t="shared" si="8"/>
        <v>0.61699134387251542</v>
      </c>
      <c r="E38" s="53">
        <f t="shared" si="9"/>
        <v>1.1571677081186704</v>
      </c>
      <c r="F38" s="53">
        <f t="shared" si="10"/>
        <v>0.53433775978377629</v>
      </c>
      <c r="G38" s="174">
        <f t="shared" si="11"/>
        <v>1.2745799097127497</v>
      </c>
      <c r="H38" s="175">
        <f t="shared" si="12"/>
        <v>1.1634549809029997</v>
      </c>
      <c r="I38" s="3"/>
      <c r="J38">
        <f t="shared" si="13"/>
        <v>0.98768866335708294</v>
      </c>
      <c r="K38" s="6">
        <f t="shared" si="14"/>
        <v>1.3192382789617421</v>
      </c>
      <c r="L38">
        <f t="shared" si="15"/>
        <v>1.6556860796494253</v>
      </c>
      <c r="M38">
        <f t="shared" si="19"/>
        <v>1.3144877390876599</v>
      </c>
      <c r="N38">
        <f t="shared" si="20"/>
        <v>0.52095072892282213</v>
      </c>
      <c r="O38" s="163">
        <f t="shared" si="16"/>
        <v>-4.6685938655326553E-2</v>
      </c>
      <c r="P38" s="170">
        <f t="shared" ref="P38:P58" si="21">ASIN(COS($K$21)*SIN($D38)/COS($J38))</f>
        <v>1.4859065739403678</v>
      </c>
      <c r="Q38" s="170">
        <f t="shared" si="17"/>
        <v>24.785767053984813</v>
      </c>
      <c r="R38" s="170">
        <f t="shared" si="2"/>
        <v>5609</v>
      </c>
      <c r="S38" s="251">
        <f>S37+10</f>
        <v>42135</v>
      </c>
      <c r="T38" s="198">
        <v>17.862726700758522</v>
      </c>
      <c r="U38" s="199">
        <v>3.6272728222115367</v>
      </c>
      <c r="AM38" s="2"/>
    </row>
    <row r="39" spans="1:39" x14ac:dyDescent="0.2">
      <c r="A39" s="132">
        <f t="shared" ref="A39:A58" si="22">IF($A38+$A$26&gt;$E$22,$A38,$A38+$A$26)</f>
        <v>16</v>
      </c>
      <c r="B39" s="18">
        <f t="shared" si="18"/>
        <v>0.69346944444444436</v>
      </c>
      <c r="C39" s="3">
        <f t="shared" si="7"/>
        <v>50.350999999999999</v>
      </c>
      <c r="D39" s="3">
        <f t="shared" si="8"/>
        <v>0.87879073167166488</v>
      </c>
      <c r="E39" s="53">
        <f t="shared" si="9"/>
        <v>1.539935657701061</v>
      </c>
      <c r="F39" s="53">
        <f t="shared" si="10"/>
        <v>0.41802612777290626</v>
      </c>
      <c r="G39" s="174">
        <f t="shared" si="11"/>
        <v>1.5956652761027326</v>
      </c>
      <c r="H39" s="175">
        <f t="shared" si="12"/>
        <v>1.5580819411185221</v>
      </c>
      <c r="I39" s="3"/>
      <c r="J39">
        <f t="shared" si="13"/>
        <v>0.74190361436941721</v>
      </c>
      <c r="K39" s="6">
        <f t="shared" si="14"/>
        <v>2.1820094010679232</v>
      </c>
      <c r="L39">
        <f t="shared" si="15"/>
        <v>1.7093756865937297</v>
      </c>
      <c r="M39">
        <f t="shared" si="19"/>
        <v>2.1610909950982125</v>
      </c>
      <c r="N39">
        <f t="shared" si="20"/>
        <v>0.33139152357510404</v>
      </c>
      <c r="O39" s="163">
        <f t="shared" si="16"/>
        <v>-0.10183177117079223</v>
      </c>
      <c r="P39" s="170">
        <f t="shared" si="21"/>
        <v>1.4322169669960634</v>
      </c>
      <c r="Q39" s="170">
        <f t="shared" si="17"/>
        <v>15.18734787315646</v>
      </c>
      <c r="R39" s="170">
        <f t="shared" si="2"/>
        <v>5619</v>
      </c>
      <c r="S39" s="251">
        <f>S38+10</f>
        <v>42145</v>
      </c>
      <c r="T39" s="198">
        <v>20.170334027008334</v>
      </c>
      <c r="U39" s="199">
        <v>3.4351968808023741</v>
      </c>
      <c r="AM39" s="2"/>
    </row>
    <row r="40" spans="1:39" x14ac:dyDescent="0.2">
      <c r="A40" s="132">
        <f t="shared" si="22"/>
        <v>17</v>
      </c>
      <c r="B40" s="18">
        <f t="shared" si="18"/>
        <v>0.7351361111111111</v>
      </c>
      <c r="C40" s="3">
        <f t="shared" si="7"/>
        <v>65.350999999999999</v>
      </c>
      <c r="D40" s="3">
        <f t="shared" si="8"/>
        <v>1.1405901194708143</v>
      </c>
      <c r="E40" s="53">
        <f t="shared" si="9"/>
        <v>1.8177595370751236</v>
      </c>
      <c r="F40" s="53">
        <f t="shared" si="10"/>
        <v>0.27322670597515192</v>
      </c>
      <c r="G40" s="174">
        <f t="shared" si="11"/>
        <v>1.8381791445573523</v>
      </c>
      <c r="H40" s="175">
        <f t="shared" si="12"/>
        <v>1.8574441222643565</v>
      </c>
      <c r="I40" s="3"/>
      <c r="J40">
        <f t="shared" ref="J40:J58" si="23">ASIN($J$12+($K$12*COS($D40)))</f>
        <v>0.49800135504955023</v>
      </c>
      <c r="K40" s="6">
        <f t="shared" si="14"/>
        <v>3.6784302754921123</v>
      </c>
      <c r="L40">
        <f t="shared" si="15"/>
        <v>1.7660896613199866</v>
      </c>
      <c r="M40">
        <f t="shared" si="19"/>
        <v>3.6085062179741758</v>
      </c>
      <c r="N40">
        <f t="shared" si="20"/>
        <v>-8.1009134705701147E-2</v>
      </c>
      <c r="O40" s="163">
        <f t="shared" si="16"/>
        <v>-0.17048427414701192</v>
      </c>
      <c r="P40" s="170">
        <f t="shared" si="21"/>
        <v>1.3755029922698065</v>
      </c>
      <c r="Q40" s="170">
        <f t="shared" si="17"/>
        <v>8.5481131645184654</v>
      </c>
      <c r="R40" s="170">
        <f t="shared" si="2"/>
        <v>5630</v>
      </c>
      <c r="S40" s="251">
        <f>S39+11</f>
        <v>42156</v>
      </c>
      <c r="T40" s="198">
        <v>22.043721288410179</v>
      </c>
      <c r="U40" s="199">
        <v>2.2161906296617095</v>
      </c>
      <c r="AM40" s="2"/>
    </row>
    <row r="41" spans="1:39" x14ac:dyDescent="0.2">
      <c r="A41" s="132">
        <f t="shared" si="22"/>
        <v>18</v>
      </c>
      <c r="B41" s="18">
        <f t="shared" si="18"/>
        <v>0.77680277777777773</v>
      </c>
      <c r="C41" s="3">
        <f t="shared" si="7"/>
        <v>80.350999999999999</v>
      </c>
      <c r="D41" s="3">
        <f t="shared" si="8"/>
        <v>1.4023895072699637</v>
      </c>
      <c r="E41" s="53">
        <f>IF(A41&gt;0,SIN($D41)*$C$15,F40)</f>
        <v>1.9717061079871852</v>
      </c>
      <c r="F41" s="53">
        <f t="shared" si="10"/>
        <v>0.10980733569367165</v>
      </c>
      <c r="G41" s="174">
        <f t="shared" si="11"/>
        <v>1.974761410207855</v>
      </c>
      <c r="H41" s="175">
        <f t="shared" si="12"/>
        <v>2.0457272742438266</v>
      </c>
      <c r="I41" s="3"/>
      <c r="J41">
        <f t="shared" si="23"/>
        <v>0.25700480274888615</v>
      </c>
      <c r="K41" s="6">
        <f t="shared" si="14"/>
        <v>7.6098599587089844</v>
      </c>
      <c r="L41">
        <f t="shared" si="15"/>
        <v>1.8300773932684262</v>
      </c>
      <c r="M41">
        <f t="shared" si="19"/>
        <v>7.3554969818906697</v>
      </c>
      <c r="N41">
        <f t="shared" si="20"/>
        <v>-1.318253305265872</v>
      </c>
      <c r="O41" s="163">
        <f t="shared" si="16"/>
        <v>-0.24796489295978175</v>
      </c>
      <c r="P41" s="170">
        <f t="shared" si="21"/>
        <v>1.3115152603213669</v>
      </c>
      <c r="Q41" s="170">
        <f t="shared" si="17"/>
        <v>3.1875970204159758</v>
      </c>
      <c r="R41" s="170">
        <f t="shared" si="2"/>
        <v>5640</v>
      </c>
      <c r="S41" s="251">
        <f>S40+10</f>
        <v>42166</v>
      </c>
      <c r="T41" s="198">
        <v>23.078330473825844</v>
      </c>
      <c r="U41" s="199">
        <v>0.41772003944053299</v>
      </c>
      <c r="AM41" s="2"/>
    </row>
    <row r="42" spans="1:39" x14ac:dyDescent="0.2">
      <c r="A42" s="132">
        <f t="shared" si="22"/>
        <v>19</v>
      </c>
      <c r="B42" s="18">
        <f t="shared" si="18"/>
        <v>0.81846944444444436</v>
      </c>
      <c r="C42" s="3">
        <f t="shared" si="7"/>
        <v>95.350999999999999</v>
      </c>
      <c r="D42" s="3">
        <f t="shared" si="8"/>
        <v>1.664188895069113</v>
      </c>
      <c r="E42" s="53">
        <f>IF(A42&gt;0,SIN($D42)*$C$15,F41)</f>
        <v>1.991284166038326</v>
      </c>
      <c r="F42" s="53">
        <f>IF($A42&gt;0,COS($D42)*$C$16,"")</f>
        <v>-6.1095223050130119E-2</v>
      </c>
      <c r="G42" s="174">
        <f t="shared" si="11"/>
        <v>1.992221186564006</v>
      </c>
      <c r="H42" s="175">
        <f t="shared" si="12"/>
        <v>2.1161731881291108</v>
      </c>
      <c r="I42" s="3"/>
      <c r="J42">
        <f t="shared" si="23"/>
        <v>2.0466865151214347E-2</v>
      </c>
      <c r="K42" s="6">
        <f t="shared" si="14"/>
        <v>97.705277076571988</v>
      </c>
      <c r="L42">
        <f t="shared" si="15"/>
        <v>1.9061068019542291</v>
      </c>
      <c r="M42">
        <f t="shared" si="19"/>
        <v>7.3554969818906697</v>
      </c>
      <c r="N42">
        <f t="shared" si="20"/>
        <v>-1.318253305265872</v>
      </c>
      <c r="O42" s="163">
        <f t="shared" si="16"/>
        <v>-0.32899345147978803</v>
      </c>
      <c r="P42" s="170">
        <f t="shared" si="21"/>
        <v>1.235485851635564</v>
      </c>
      <c r="Q42" s="170">
        <f t="shared" si="17"/>
        <v>-1.7573587530082391</v>
      </c>
      <c r="R42" s="170">
        <f t="shared" si="2"/>
        <v>5650</v>
      </c>
      <c r="S42" s="251">
        <f>S41+10</f>
        <v>42176</v>
      </c>
      <c r="T42" s="198">
        <v>23.437632581355025</v>
      </c>
      <c r="U42" s="199">
        <v>-1.7115994972921671</v>
      </c>
      <c r="AM42" s="2"/>
    </row>
    <row r="43" spans="1:39" x14ac:dyDescent="0.2">
      <c r="A43" s="132">
        <f t="shared" si="22"/>
        <v>20</v>
      </c>
      <c r="B43" s="18">
        <f t="shared" si="18"/>
        <v>0.8601361111111111</v>
      </c>
      <c r="C43" s="3">
        <f t="shared" si="7"/>
        <v>110.351</v>
      </c>
      <c r="D43" s="3">
        <f t="shared" si="8"/>
        <v>1.9259882828682626</v>
      </c>
      <c r="E43" s="53">
        <f t="shared" ref="E43:E58" si="24">IF(A43&gt;0,SIN($D43)*$C$15,F42)</f>
        <v>1.8751594989266311</v>
      </c>
      <c r="F43" s="53">
        <f t="shared" ref="F43:F58" si="25">IF($A43&gt;0,COS($D43)*$C$16,"")</f>
        <v>-0.22783424330769556</v>
      </c>
      <c r="G43" s="174">
        <f t="shared" si="11"/>
        <v>1.8889498640351374</v>
      </c>
      <c r="H43" s="175">
        <f t="shared" si="12"/>
        <v>2.0726423334709105</v>
      </c>
      <c r="I43" s="3"/>
      <c r="J43">
        <f>ASIN($J$12+($K$12*COS($D43)))</f>
        <v>-0.209080093515216</v>
      </c>
      <c r="K43" s="6">
        <f t="shared" si="14"/>
        <v>-9.4259175514750275</v>
      </c>
      <c r="L43">
        <f>IF($O43&gt;0,$P43,PI()-$P43)</f>
        <v>2.0010839025217368</v>
      </c>
      <c r="M43">
        <f t="shared" si="19"/>
        <v>7.3554969818906697</v>
      </c>
      <c r="N43">
        <f t="shared" si="20"/>
        <v>-1.318253305265872</v>
      </c>
      <c r="O43" s="163">
        <f t="shared" si="16"/>
        <v>-0.40804798734991676</v>
      </c>
      <c r="P43" s="170">
        <f t="shared" si="21"/>
        <v>1.1405087510680565</v>
      </c>
      <c r="Q43" s="170">
        <f t="shared" si="17"/>
        <v>-6.9275531557645049</v>
      </c>
      <c r="R43" s="170">
        <f t="shared" si="2"/>
        <v>5660</v>
      </c>
      <c r="S43" s="251">
        <f>S42+10</f>
        <v>42186</v>
      </c>
      <c r="T43" s="198">
        <v>23.110180753851164</v>
      </c>
      <c r="U43" s="199">
        <v>-3.7967241644973555</v>
      </c>
      <c r="AM43" s="2"/>
    </row>
    <row r="44" spans="1:39" x14ac:dyDescent="0.2">
      <c r="A44" s="132">
        <f t="shared" si="22"/>
        <v>20</v>
      </c>
      <c r="B44" s="18">
        <f t="shared" si="18"/>
        <v>0.8601361111111111</v>
      </c>
      <c r="C44" s="3">
        <f t="shared" si="7"/>
        <v>110.351</v>
      </c>
      <c r="D44" s="3">
        <f t="shared" si="8"/>
        <v>1.9259882828682626</v>
      </c>
      <c r="E44" s="53">
        <f t="shared" si="24"/>
        <v>1.8751594989266311</v>
      </c>
      <c r="F44" s="53">
        <f t="shared" si="25"/>
        <v>-0.22783424330769556</v>
      </c>
      <c r="G44" s="174">
        <f t="shared" si="11"/>
        <v>1.8889498640351374</v>
      </c>
      <c r="H44" s="175">
        <f t="shared" si="12"/>
        <v>2.0726423334709105</v>
      </c>
      <c r="I44" s="3"/>
      <c r="J44">
        <f t="shared" si="23"/>
        <v>-0.209080093515216</v>
      </c>
      <c r="K44" s="6">
        <f t="shared" si="14"/>
        <v>-9.4259175514750275</v>
      </c>
      <c r="L44">
        <f t="shared" si="15"/>
        <v>2.0010839025217368</v>
      </c>
      <c r="M44">
        <f t="shared" si="19"/>
        <v>7.3554969818906697</v>
      </c>
      <c r="N44">
        <f t="shared" si="20"/>
        <v>-1.318253305265872</v>
      </c>
      <c r="O44" s="163">
        <f t="shared" si="16"/>
        <v>-0.40804798734991676</v>
      </c>
      <c r="P44" s="170">
        <f t="shared" si="21"/>
        <v>1.1405087510680565</v>
      </c>
      <c r="Q44" s="170">
        <f t="shared" si="17"/>
        <v>-6.9275531557645049</v>
      </c>
      <c r="R44" s="170">
        <f t="shared" si="2"/>
        <v>5670</v>
      </c>
      <c r="S44" s="251">
        <f>S43+10</f>
        <v>42196</v>
      </c>
      <c r="T44" s="198">
        <v>22.11128794367195</v>
      </c>
      <c r="U44" s="199">
        <v>-5.4654330914439413</v>
      </c>
      <c r="AM44" s="2"/>
    </row>
    <row r="45" spans="1:39" x14ac:dyDescent="0.2">
      <c r="A45" s="132">
        <f t="shared" si="22"/>
        <v>20</v>
      </c>
      <c r="B45" s="18">
        <f t="shared" si="18"/>
        <v>0.8601361111111111</v>
      </c>
      <c r="C45" s="3">
        <f t="shared" si="7"/>
        <v>110.351</v>
      </c>
      <c r="D45" s="3">
        <f t="shared" si="8"/>
        <v>1.9259882828682626</v>
      </c>
      <c r="E45" s="53">
        <f t="shared" si="24"/>
        <v>1.8751594989266311</v>
      </c>
      <c r="F45" s="53">
        <f t="shared" si="25"/>
        <v>-0.22783424330769556</v>
      </c>
      <c r="G45" s="174">
        <f t="shared" si="11"/>
        <v>1.8889498640351374</v>
      </c>
      <c r="H45" s="175">
        <f t="shared" si="12"/>
        <v>2.0726423334709105</v>
      </c>
      <c r="I45" s="3"/>
      <c r="J45">
        <f t="shared" si="23"/>
        <v>-0.209080093515216</v>
      </c>
      <c r="K45" s="6">
        <f t="shared" si="14"/>
        <v>-9.4259175514750275</v>
      </c>
      <c r="L45">
        <f t="shared" si="15"/>
        <v>2.0010839025217368</v>
      </c>
      <c r="M45">
        <f t="shared" si="19"/>
        <v>7.3554969818906697</v>
      </c>
      <c r="N45">
        <f t="shared" si="20"/>
        <v>-1.318253305265872</v>
      </c>
      <c r="O45" s="163">
        <f t="shared" si="16"/>
        <v>-0.40804798734991676</v>
      </c>
      <c r="P45" s="170">
        <f t="shared" si="21"/>
        <v>1.1405087510680565</v>
      </c>
      <c r="Q45" s="170">
        <f t="shared" si="17"/>
        <v>-6.9275531557645049</v>
      </c>
      <c r="R45" s="170">
        <f t="shared" si="2"/>
        <v>5680</v>
      </c>
      <c r="S45" s="251">
        <f>S44+10</f>
        <v>42206</v>
      </c>
      <c r="T45" s="198">
        <v>20.480977595507181</v>
      </c>
      <c r="U45" s="199">
        <v>-6.4067361706608041</v>
      </c>
      <c r="AM45" s="2"/>
    </row>
    <row r="46" spans="1:39" x14ac:dyDescent="0.2">
      <c r="A46" s="132">
        <f t="shared" si="22"/>
        <v>20</v>
      </c>
      <c r="B46" s="18">
        <f t="shared" si="18"/>
        <v>0.8601361111111111</v>
      </c>
      <c r="C46" s="3">
        <f t="shared" si="7"/>
        <v>110.351</v>
      </c>
      <c r="D46" s="3">
        <f t="shared" si="8"/>
        <v>1.9259882828682626</v>
      </c>
      <c r="E46" s="53">
        <f t="shared" si="24"/>
        <v>1.8751594989266311</v>
      </c>
      <c r="F46" s="53">
        <f t="shared" si="25"/>
        <v>-0.22783424330769556</v>
      </c>
      <c r="G46" s="174">
        <f t="shared" si="11"/>
        <v>1.8889498640351374</v>
      </c>
      <c r="H46" s="175">
        <f t="shared" si="12"/>
        <v>2.0726423334709105</v>
      </c>
      <c r="I46" s="3"/>
      <c r="J46">
        <f t="shared" si="23"/>
        <v>-0.209080093515216</v>
      </c>
      <c r="K46" s="6">
        <f t="shared" si="14"/>
        <v>-9.4259175514750275</v>
      </c>
      <c r="L46">
        <f t="shared" si="15"/>
        <v>2.0010839025217368</v>
      </c>
      <c r="M46">
        <f t="shared" si="19"/>
        <v>7.3554969818906697</v>
      </c>
      <c r="N46">
        <f t="shared" si="20"/>
        <v>-1.318253305265872</v>
      </c>
      <c r="O46" s="163">
        <f t="shared" si="16"/>
        <v>-0.40804798734991676</v>
      </c>
      <c r="P46" s="170">
        <f t="shared" si="21"/>
        <v>1.1405087510680565</v>
      </c>
      <c r="Q46" s="170">
        <f t="shared" si="17"/>
        <v>-6.9275531557645049</v>
      </c>
      <c r="R46" s="170">
        <f t="shared" si="2"/>
        <v>5691</v>
      </c>
      <c r="S46" s="251">
        <f>S45+11</f>
        <v>42217</v>
      </c>
      <c r="T46" s="198">
        <v>18.03038029206709</v>
      </c>
      <c r="U46" s="199">
        <v>-6.3614039658966863</v>
      </c>
      <c r="AM46" s="2"/>
    </row>
    <row r="47" spans="1:39" x14ac:dyDescent="0.2">
      <c r="A47" s="132">
        <f t="shared" si="22"/>
        <v>20</v>
      </c>
      <c r="B47" s="18">
        <f t="shared" si="18"/>
        <v>0.8601361111111111</v>
      </c>
      <c r="C47" s="3">
        <f t="shared" si="7"/>
        <v>110.351</v>
      </c>
      <c r="D47" s="3">
        <f t="shared" si="8"/>
        <v>1.9259882828682626</v>
      </c>
      <c r="E47" s="53">
        <f t="shared" si="24"/>
        <v>1.8751594989266311</v>
      </c>
      <c r="F47" s="53">
        <f t="shared" si="25"/>
        <v>-0.22783424330769556</v>
      </c>
      <c r="G47" s="174">
        <f t="shared" si="11"/>
        <v>1.8889498640351374</v>
      </c>
      <c r="H47" s="175">
        <f t="shared" si="12"/>
        <v>2.0726423334709105</v>
      </c>
      <c r="I47" s="3"/>
      <c r="J47">
        <f t="shared" si="23"/>
        <v>-0.209080093515216</v>
      </c>
      <c r="K47" s="6">
        <f t="shared" si="14"/>
        <v>-9.4259175514750275</v>
      </c>
      <c r="L47">
        <f t="shared" si="15"/>
        <v>2.0010839025217368</v>
      </c>
      <c r="M47">
        <f t="shared" si="19"/>
        <v>7.3554969818906697</v>
      </c>
      <c r="N47">
        <f t="shared" si="20"/>
        <v>-1.318253305265872</v>
      </c>
      <c r="O47" s="163">
        <f t="shared" si="16"/>
        <v>-0.40804798734991676</v>
      </c>
      <c r="P47" s="170">
        <f t="shared" si="21"/>
        <v>1.1405087510680565</v>
      </c>
      <c r="Q47" s="170">
        <f t="shared" si="17"/>
        <v>-6.9275531557645049</v>
      </c>
      <c r="R47" s="170">
        <f t="shared" si="2"/>
        <v>5701</v>
      </c>
      <c r="S47" s="251">
        <f>S46+10</f>
        <v>42227</v>
      </c>
      <c r="T47" s="198">
        <v>15.285844612056914</v>
      </c>
      <c r="U47" s="199">
        <v>-5.2630491632105132</v>
      </c>
      <c r="AM47" s="2"/>
    </row>
    <row r="48" spans="1:39" x14ac:dyDescent="0.2">
      <c r="A48" s="132">
        <f t="shared" si="22"/>
        <v>20</v>
      </c>
      <c r="B48" s="18">
        <f t="shared" si="18"/>
        <v>0.8601361111111111</v>
      </c>
      <c r="C48" s="3">
        <f t="shared" si="7"/>
        <v>110.351</v>
      </c>
      <c r="D48" s="3">
        <f t="shared" si="8"/>
        <v>1.9259882828682626</v>
      </c>
      <c r="E48" s="53">
        <f t="shared" si="24"/>
        <v>1.8751594989266311</v>
      </c>
      <c r="F48" s="53">
        <f t="shared" si="25"/>
        <v>-0.22783424330769556</v>
      </c>
      <c r="G48" s="174">
        <f t="shared" si="11"/>
        <v>1.8889498640351374</v>
      </c>
      <c r="H48" s="175">
        <f t="shared" si="12"/>
        <v>2.0726423334709105</v>
      </c>
      <c r="I48" s="3"/>
      <c r="J48">
        <f t="shared" si="23"/>
        <v>-0.209080093515216</v>
      </c>
      <c r="K48" s="6">
        <f t="shared" si="14"/>
        <v>-9.4259175514750275</v>
      </c>
      <c r="L48">
        <f t="shared" si="15"/>
        <v>2.0010839025217368</v>
      </c>
      <c r="M48">
        <f t="shared" si="19"/>
        <v>7.3554969818906697</v>
      </c>
      <c r="N48">
        <f t="shared" si="20"/>
        <v>-1.318253305265872</v>
      </c>
      <c r="O48" s="163">
        <f t="shared" si="16"/>
        <v>-0.40804798734991676</v>
      </c>
      <c r="P48" s="170">
        <f t="shared" si="21"/>
        <v>1.1405087510680565</v>
      </c>
      <c r="Q48" s="170">
        <f t="shared" si="17"/>
        <v>-6.9275531557645049</v>
      </c>
      <c r="R48" s="170">
        <f t="shared" si="2"/>
        <v>5711</v>
      </c>
      <c r="S48" s="251">
        <f>S47+10</f>
        <v>42237</v>
      </c>
      <c r="T48" s="198">
        <v>12.134749138417925</v>
      </c>
      <c r="U48" s="199">
        <v>-3.222545045970691</v>
      </c>
      <c r="AM48" s="2"/>
    </row>
    <row r="49" spans="1:39" x14ac:dyDescent="0.2">
      <c r="A49" s="132">
        <f t="shared" si="22"/>
        <v>20</v>
      </c>
      <c r="B49" s="18">
        <f t="shared" si="18"/>
        <v>0.8601361111111111</v>
      </c>
      <c r="C49" s="3">
        <f t="shared" si="7"/>
        <v>110.351</v>
      </c>
      <c r="D49" s="3">
        <f t="shared" si="8"/>
        <v>1.9259882828682626</v>
      </c>
      <c r="E49" s="53">
        <f t="shared" si="24"/>
        <v>1.8751594989266311</v>
      </c>
      <c r="F49" s="53">
        <f t="shared" si="25"/>
        <v>-0.22783424330769556</v>
      </c>
      <c r="G49" s="174">
        <f t="shared" si="11"/>
        <v>1.8889498640351374</v>
      </c>
      <c r="H49" s="175">
        <f t="shared" si="12"/>
        <v>2.0726423334709105</v>
      </c>
      <c r="I49" s="3"/>
      <c r="J49">
        <f t="shared" si="23"/>
        <v>-0.209080093515216</v>
      </c>
      <c r="K49" s="6">
        <f t="shared" si="14"/>
        <v>-9.4259175514750275</v>
      </c>
      <c r="L49">
        <f t="shared" si="15"/>
        <v>2.0010839025217368</v>
      </c>
      <c r="M49">
        <f t="shared" si="19"/>
        <v>7.3554969818906697</v>
      </c>
      <c r="N49">
        <f t="shared" si="20"/>
        <v>-1.318253305265872</v>
      </c>
      <c r="O49" s="163">
        <f t="shared" si="16"/>
        <v>-0.40804798734991676</v>
      </c>
      <c r="P49" s="170">
        <f t="shared" si="21"/>
        <v>1.1405087510680565</v>
      </c>
      <c r="Q49" s="170">
        <f t="shared" si="17"/>
        <v>-6.9275531557645049</v>
      </c>
      <c r="R49" s="170">
        <f t="shared" si="2"/>
        <v>5722</v>
      </c>
      <c r="S49" s="251">
        <f>S48+11</f>
        <v>42248</v>
      </c>
      <c r="T49" s="198">
        <v>8.3027877148934319</v>
      </c>
      <c r="U49" s="199">
        <v>-9.8611697922150632E-2</v>
      </c>
      <c r="AM49" s="2"/>
    </row>
    <row r="50" spans="1:39" x14ac:dyDescent="0.2">
      <c r="A50" s="132">
        <f t="shared" si="22"/>
        <v>20</v>
      </c>
      <c r="B50" s="18">
        <f t="shared" si="18"/>
        <v>0.8601361111111111</v>
      </c>
      <c r="C50" s="3">
        <f t="shared" si="7"/>
        <v>110.351</v>
      </c>
      <c r="D50" s="3">
        <f t="shared" si="8"/>
        <v>1.9259882828682626</v>
      </c>
      <c r="E50" s="53">
        <f t="shared" si="24"/>
        <v>1.8751594989266311</v>
      </c>
      <c r="F50" s="53">
        <f t="shared" si="25"/>
        <v>-0.22783424330769556</v>
      </c>
      <c r="G50" s="174">
        <f t="shared" si="11"/>
        <v>1.8889498640351374</v>
      </c>
      <c r="H50" s="175">
        <f t="shared" si="12"/>
        <v>2.0726423334709105</v>
      </c>
      <c r="I50" s="3"/>
      <c r="J50">
        <f t="shared" si="23"/>
        <v>-0.209080093515216</v>
      </c>
      <c r="K50" s="6">
        <f t="shared" si="14"/>
        <v>-9.4259175514750275</v>
      </c>
      <c r="L50">
        <f t="shared" si="15"/>
        <v>2.0010839025217368</v>
      </c>
      <c r="M50">
        <f t="shared" si="19"/>
        <v>7.3554969818906697</v>
      </c>
      <c r="N50">
        <f t="shared" si="20"/>
        <v>-1.318253305265872</v>
      </c>
      <c r="O50" s="163">
        <f t="shared" si="16"/>
        <v>-0.40804798734991676</v>
      </c>
      <c r="P50" s="170">
        <f t="shared" si="21"/>
        <v>1.1405087510680565</v>
      </c>
      <c r="Q50" s="170">
        <f t="shared" si="17"/>
        <v>-6.9275531557645049</v>
      </c>
      <c r="R50" s="170">
        <f t="shared" si="2"/>
        <v>5732</v>
      </c>
      <c r="S50" s="251">
        <f>S49+10</f>
        <v>42258</v>
      </c>
      <c r="T50" s="198">
        <v>4.5830732952182105</v>
      </c>
      <c r="U50" s="199">
        <v>3.2660129708167638</v>
      </c>
      <c r="AM50" s="2"/>
    </row>
    <row r="51" spans="1:39" x14ac:dyDescent="0.2">
      <c r="A51" s="132">
        <f t="shared" si="22"/>
        <v>20</v>
      </c>
      <c r="B51" s="18">
        <f t="shared" si="18"/>
        <v>0.8601361111111111</v>
      </c>
      <c r="C51" s="3">
        <f t="shared" si="7"/>
        <v>110.351</v>
      </c>
      <c r="D51" s="3">
        <f t="shared" si="8"/>
        <v>1.9259882828682626</v>
      </c>
      <c r="E51" s="53">
        <f t="shared" si="24"/>
        <v>1.8751594989266311</v>
      </c>
      <c r="F51" s="53">
        <f t="shared" si="25"/>
        <v>-0.22783424330769556</v>
      </c>
      <c r="G51" s="174">
        <f t="shared" si="11"/>
        <v>1.8889498640351374</v>
      </c>
      <c r="H51" s="175">
        <f t="shared" si="12"/>
        <v>2.0726423334709105</v>
      </c>
      <c r="I51" s="3"/>
      <c r="J51">
        <f t="shared" si="23"/>
        <v>-0.209080093515216</v>
      </c>
      <c r="K51" s="6">
        <f t="shared" si="14"/>
        <v>-9.4259175514750275</v>
      </c>
      <c r="L51">
        <f t="shared" si="15"/>
        <v>2.0010839025217368</v>
      </c>
      <c r="M51">
        <f t="shared" si="19"/>
        <v>7.3554969818906697</v>
      </c>
      <c r="N51">
        <f t="shared" si="20"/>
        <v>-1.318253305265872</v>
      </c>
      <c r="O51" s="163">
        <f t="shared" si="16"/>
        <v>-0.40804798734991676</v>
      </c>
      <c r="P51" s="170">
        <f t="shared" si="21"/>
        <v>1.1405087510680565</v>
      </c>
      <c r="Q51" s="170">
        <f t="shared" si="17"/>
        <v>-6.9275531557645049</v>
      </c>
      <c r="R51" s="170">
        <f t="shared" si="2"/>
        <v>5742</v>
      </c>
      <c r="S51" s="251">
        <f>S50+10</f>
        <v>42268</v>
      </c>
      <c r="T51" s="198">
        <v>0.73174849583653812</v>
      </c>
      <c r="U51" s="199">
        <v>6.8188191126088666</v>
      </c>
      <c r="AM51" s="2"/>
    </row>
    <row r="52" spans="1:39" x14ac:dyDescent="0.2">
      <c r="A52" s="132">
        <f t="shared" si="22"/>
        <v>20</v>
      </c>
      <c r="B52" s="18">
        <f t="shared" si="18"/>
        <v>0.8601361111111111</v>
      </c>
      <c r="C52" s="3">
        <f t="shared" si="7"/>
        <v>110.351</v>
      </c>
      <c r="D52" s="3">
        <f t="shared" si="8"/>
        <v>1.9259882828682626</v>
      </c>
      <c r="E52" s="53">
        <f t="shared" si="24"/>
        <v>1.8751594989266311</v>
      </c>
      <c r="F52" s="53">
        <f t="shared" si="25"/>
        <v>-0.22783424330769556</v>
      </c>
      <c r="G52" s="174">
        <f t="shared" si="11"/>
        <v>1.8889498640351374</v>
      </c>
      <c r="H52" s="175">
        <f t="shared" si="12"/>
        <v>2.0726423334709105</v>
      </c>
      <c r="I52" s="3"/>
      <c r="J52">
        <f t="shared" si="23"/>
        <v>-0.209080093515216</v>
      </c>
      <c r="K52" s="6">
        <f t="shared" si="14"/>
        <v>-9.4259175514750275</v>
      </c>
      <c r="L52">
        <f t="shared" si="15"/>
        <v>2.0010839025217368</v>
      </c>
      <c r="M52">
        <f t="shared" si="19"/>
        <v>7.3554969818906697</v>
      </c>
      <c r="N52">
        <f t="shared" si="20"/>
        <v>-1.318253305265872</v>
      </c>
      <c r="O52" s="163">
        <f t="shared" si="16"/>
        <v>-0.40804798734991676</v>
      </c>
      <c r="P52" s="170">
        <f t="shared" si="21"/>
        <v>1.1405087510680565</v>
      </c>
      <c r="Q52" s="170">
        <f t="shared" si="17"/>
        <v>-6.9275531557645049</v>
      </c>
      <c r="R52" s="170">
        <f t="shared" si="2"/>
        <v>5752</v>
      </c>
      <c r="S52" s="251">
        <f>S51+10</f>
        <v>42278</v>
      </c>
      <c r="T52" s="198">
        <v>-3.1587419195866189</v>
      </c>
      <c r="U52" s="199">
        <v>10.233283739901765</v>
      </c>
      <c r="AM52" s="2"/>
    </row>
    <row r="53" spans="1:39" x14ac:dyDescent="0.2">
      <c r="A53" s="132">
        <f t="shared" si="22"/>
        <v>20</v>
      </c>
      <c r="B53" s="18">
        <f t="shared" si="18"/>
        <v>0.8601361111111111</v>
      </c>
      <c r="C53" s="3">
        <f t="shared" si="7"/>
        <v>110.351</v>
      </c>
      <c r="D53" s="3">
        <f t="shared" si="8"/>
        <v>1.9259882828682626</v>
      </c>
      <c r="E53" s="53">
        <f t="shared" si="24"/>
        <v>1.8751594989266311</v>
      </c>
      <c r="F53" s="53">
        <f t="shared" si="25"/>
        <v>-0.22783424330769556</v>
      </c>
      <c r="G53" s="174">
        <f t="shared" si="11"/>
        <v>1.8889498640351374</v>
      </c>
      <c r="H53" s="175">
        <f t="shared" si="12"/>
        <v>2.0726423334709105</v>
      </c>
      <c r="I53" s="3"/>
      <c r="J53">
        <f t="shared" si="23"/>
        <v>-0.209080093515216</v>
      </c>
      <c r="K53" s="6">
        <f t="shared" si="14"/>
        <v>-9.4259175514750275</v>
      </c>
      <c r="L53">
        <f t="shared" si="15"/>
        <v>2.0010839025217368</v>
      </c>
      <c r="M53">
        <f t="shared" si="19"/>
        <v>7.3554969818906697</v>
      </c>
      <c r="N53">
        <f t="shared" si="20"/>
        <v>-1.318253305265872</v>
      </c>
      <c r="O53" s="163">
        <f t="shared" si="16"/>
        <v>-0.40804798734991676</v>
      </c>
      <c r="P53" s="170">
        <f t="shared" si="21"/>
        <v>1.1405087510680565</v>
      </c>
      <c r="Q53" s="170">
        <f t="shared" si="17"/>
        <v>-6.9275531557645049</v>
      </c>
      <c r="R53" s="170">
        <f t="shared" si="2"/>
        <v>5762</v>
      </c>
      <c r="S53" s="251">
        <f>S52+10</f>
        <v>42288</v>
      </c>
      <c r="T53" s="198">
        <v>-6.9924332136598597</v>
      </c>
      <c r="U53" s="199">
        <v>13.175066999232685</v>
      </c>
      <c r="AM53" s="2"/>
    </row>
    <row r="54" spans="1:39" x14ac:dyDescent="0.2">
      <c r="A54" s="132">
        <f t="shared" si="22"/>
        <v>20</v>
      </c>
      <c r="B54" s="18">
        <f t="shared" si="18"/>
        <v>0.8601361111111111</v>
      </c>
      <c r="C54" s="3">
        <f t="shared" si="7"/>
        <v>110.351</v>
      </c>
      <c r="D54" s="3">
        <f t="shared" si="8"/>
        <v>1.9259882828682626</v>
      </c>
      <c r="E54" s="53">
        <f t="shared" si="24"/>
        <v>1.8751594989266311</v>
      </c>
      <c r="F54" s="53">
        <f t="shared" si="25"/>
        <v>-0.22783424330769556</v>
      </c>
      <c r="G54" s="174">
        <f t="shared" si="11"/>
        <v>1.8889498640351374</v>
      </c>
      <c r="H54" s="175">
        <f t="shared" si="12"/>
        <v>2.0726423334709105</v>
      </c>
      <c r="I54" s="3"/>
      <c r="J54">
        <f t="shared" si="23"/>
        <v>-0.209080093515216</v>
      </c>
      <c r="K54" s="6">
        <f t="shared" si="14"/>
        <v>-9.4259175514750275</v>
      </c>
      <c r="L54">
        <f t="shared" si="15"/>
        <v>2.0010839025217368</v>
      </c>
      <c r="M54">
        <f t="shared" si="19"/>
        <v>7.3554969818906697</v>
      </c>
      <c r="N54">
        <f t="shared" si="20"/>
        <v>-1.318253305265872</v>
      </c>
      <c r="O54" s="163">
        <f t="shared" si="16"/>
        <v>-0.40804798734991676</v>
      </c>
      <c r="P54" s="170">
        <f t="shared" si="21"/>
        <v>1.1405087510680565</v>
      </c>
      <c r="Q54" s="170">
        <f t="shared" si="17"/>
        <v>-6.9275531557645049</v>
      </c>
      <c r="R54" s="170">
        <f t="shared" si="2"/>
        <v>5772</v>
      </c>
      <c r="S54" s="251">
        <f>S53+10</f>
        <v>42298</v>
      </c>
      <c r="T54" s="198">
        <v>-10.668513311486565</v>
      </c>
      <c r="U54" s="199">
        <v>15.318775261550705</v>
      </c>
      <c r="AM54" s="2"/>
    </row>
    <row r="55" spans="1:39" x14ac:dyDescent="0.2">
      <c r="A55" s="132">
        <f t="shared" si="22"/>
        <v>20</v>
      </c>
      <c r="B55" s="18">
        <f t="shared" si="18"/>
        <v>0.8601361111111111</v>
      </c>
      <c r="C55" s="3">
        <f t="shared" si="7"/>
        <v>110.351</v>
      </c>
      <c r="D55" s="3">
        <f t="shared" si="8"/>
        <v>1.9259882828682626</v>
      </c>
      <c r="E55" s="53">
        <f t="shared" si="24"/>
        <v>1.8751594989266311</v>
      </c>
      <c r="F55" s="53">
        <f t="shared" si="25"/>
        <v>-0.22783424330769556</v>
      </c>
      <c r="G55" s="174">
        <f t="shared" si="11"/>
        <v>1.8889498640351374</v>
      </c>
      <c r="H55" s="175">
        <f t="shared" si="12"/>
        <v>2.0726423334709105</v>
      </c>
      <c r="I55" s="3"/>
      <c r="J55">
        <f t="shared" si="23"/>
        <v>-0.209080093515216</v>
      </c>
      <c r="K55" s="6">
        <f t="shared" si="14"/>
        <v>-9.4259175514750275</v>
      </c>
      <c r="L55">
        <f t="shared" si="15"/>
        <v>2.0010839025217368</v>
      </c>
      <c r="M55">
        <f t="shared" si="19"/>
        <v>7.3554969818906697</v>
      </c>
      <c r="N55">
        <f t="shared" si="20"/>
        <v>-1.318253305265872</v>
      </c>
      <c r="O55" s="163">
        <f t="shared" si="16"/>
        <v>-0.40804798734991676</v>
      </c>
      <c r="P55" s="170">
        <f t="shared" si="21"/>
        <v>1.1405087510680565</v>
      </c>
      <c r="Q55" s="170">
        <f t="shared" si="17"/>
        <v>-6.9275531557645049</v>
      </c>
      <c r="R55" s="170">
        <f t="shared" si="2"/>
        <v>5783</v>
      </c>
      <c r="S55" s="251">
        <f>S54+11</f>
        <v>42309</v>
      </c>
      <c r="T55" s="198">
        <v>-14.403199248645491</v>
      </c>
      <c r="U55" s="199">
        <v>16.409515060939913</v>
      </c>
      <c r="AM55" s="2"/>
    </row>
    <row r="56" spans="1:39" x14ac:dyDescent="0.2">
      <c r="A56" s="132">
        <f t="shared" si="22"/>
        <v>20</v>
      </c>
      <c r="B56" s="18">
        <f t="shared" si="18"/>
        <v>0.8601361111111111</v>
      </c>
      <c r="C56" s="3">
        <f t="shared" si="7"/>
        <v>110.351</v>
      </c>
      <c r="D56" s="3">
        <f t="shared" si="8"/>
        <v>1.9259882828682626</v>
      </c>
      <c r="E56" s="53">
        <f t="shared" si="24"/>
        <v>1.8751594989266311</v>
      </c>
      <c r="F56" s="53">
        <f t="shared" si="25"/>
        <v>-0.22783424330769556</v>
      </c>
      <c r="G56" s="174">
        <f t="shared" si="11"/>
        <v>1.8889498640351374</v>
      </c>
      <c r="H56" s="175">
        <f t="shared" si="12"/>
        <v>2.0726423334709105</v>
      </c>
      <c r="I56" s="3"/>
      <c r="J56">
        <f t="shared" si="23"/>
        <v>-0.209080093515216</v>
      </c>
      <c r="K56" s="6">
        <f t="shared" si="14"/>
        <v>-9.4259175514750275</v>
      </c>
      <c r="L56">
        <f t="shared" si="15"/>
        <v>2.0010839025217368</v>
      </c>
      <c r="M56">
        <f t="shared" si="19"/>
        <v>7.3554969818906697</v>
      </c>
      <c r="N56">
        <f t="shared" si="20"/>
        <v>-1.318253305265872</v>
      </c>
      <c r="O56" s="163">
        <f t="shared" si="16"/>
        <v>-0.40804798734991676</v>
      </c>
      <c r="P56" s="170">
        <f t="shared" si="21"/>
        <v>1.1405087510680565</v>
      </c>
      <c r="Q56" s="170">
        <f t="shared" si="17"/>
        <v>-6.9275531557645049</v>
      </c>
      <c r="R56" s="170">
        <f t="shared" si="2"/>
        <v>5793</v>
      </c>
      <c r="S56" s="251">
        <f>S55+10</f>
        <v>42319</v>
      </c>
      <c r="T56" s="198">
        <v>-17.397176546428245</v>
      </c>
      <c r="U56" s="199">
        <v>16.017455834376129</v>
      </c>
      <c r="AM56" s="2"/>
    </row>
    <row r="57" spans="1:39" x14ac:dyDescent="0.2">
      <c r="A57" s="132">
        <f t="shared" si="22"/>
        <v>20</v>
      </c>
      <c r="B57" s="18">
        <f t="shared" si="18"/>
        <v>0.8601361111111111</v>
      </c>
      <c r="C57" s="3">
        <f t="shared" si="7"/>
        <v>110.351</v>
      </c>
      <c r="D57" s="3">
        <f t="shared" si="8"/>
        <v>1.9259882828682626</v>
      </c>
      <c r="E57" s="53">
        <f t="shared" si="24"/>
        <v>1.8751594989266311</v>
      </c>
      <c r="F57" s="53">
        <f t="shared" si="25"/>
        <v>-0.22783424330769556</v>
      </c>
      <c r="G57" s="174">
        <f t="shared" si="11"/>
        <v>1.8889498640351374</v>
      </c>
      <c r="H57" s="175">
        <f t="shared" si="12"/>
        <v>2.0726423334709105</v>
      </c>
      <c r="I57" s="3"/>
      <c r="J57">
        <f t="shared" si="23"/>
        <v>-0.209080093515216</v>
      </c>
      <c r="K57" s="6">
        <f t="shared" si="14"/>
        <v>-9.4259175514750275</v>
      </c>
      <c r="L57">
        <f t="shared" si="15"/>
        <v>2.0010839025217368</v>
      </c>
      <c r="M57">
        <f t="shared" si="19"/>
        <v>7.3554969818906697</v>
      </c>
      <c r="N57">
        <f t="shared" si="20"/>
        <v>-1.318253305265872</v>
      </c>
      <c r="O57" s="163">
        <f t="shared" si="16"/>
        <v>-0.40804798734991676</v>
      </c>
      <c r="P57" s="170">
        <f t="shared" si="21"/>
        <v>1.1405087510680565</v>
      </c>
      <c r="Q57" s="170">
        <f t="shared" si="17"/>
        <v>-6.9275531557645049</v>
      </c>
      <c r="R57" s="170">
        <f t="shared" si="2"/>
        <v>5803</v>
      </c>
      <c r="S57" s="251">
        <f>S56+10</f>
        <v>42329</v>
      </c>
      <c r="T57" s="198">
        <v>-19.893718314246449</v>
      </c>
      <c r="U57" s="199">
        <v>14.216870539175908</v>
      </c>
      <c r="AM57" s="2"/>
    </row>
    <row r="58" spans="1:39" x14ac:dyDescent="0.2">
      <c r="A58" s="132">
        <f t="shared" si="22"/>
        <v>20</v>
      </c>
      <c r="B58" s="18">
        <f t="shared" si="18"/>
        <v>0.8601361111111111</v>
      </c>
      <c r="C58" s="3">
        <f t="shared" si="7"/>
        <v>110.351</v>
      </c>
      <c r="D58" s="3">
        <f t="shared" si="8"/>
        <v>1.9259882828682626</v>
      </c>
      <c r="E58" s="104">
        <f t="shared" si="24"/>
        <v>1.8751594989266311</v>
      </c>
      <c r="F58" s="104">
        <f t="shared" si="25"/>
        <v>-0.22783424330769556</v>
      </c>
      <c r="G58" s="176">
        <f t="shared" si="11"/>
        <v>1.8889498640351374</v>
      </c>
      <c r="H58" s="177">
        <f t="shared" si="12"/>
        <v>2.0726423334709105</v>
      </c>
      <c r="I58" s="3"/>
      <c r="J58">
        <f t="shared" si="23"/>
        <v>-0.209080093515216</v>
      </c>
      <c r="K58" s="6">
        <f t="shared" si="14"/>
        <v>-9.4259175514750275</v>
      </c>
      <c r="L58">
        <f t="shared" si="15"/>
        <v>2.0010839025217368</v>
      </c>
      <c r="M58">
        <f>IF($J58&gt;0,IF($K58&lt;15,$K58*SIN($L58),$M57),$M57)</f>
        <v>7.3554969818906697</v>
      </c>
      <c r="N58">
        <f t="shared" si="20"/>
        <v>-1.318253305265872</v>
      </c>
      <c r="O58" s="163">
        <f t="shared" si="16"/>
        <v>-0.40804798734991676</v>
      </c>
      <c r="P58" s="170">
        <f t="shared" si="21"/>
        <v>1.1405087510680565</v>
      </c>
      <c r="Q58" s="170">
        <f t="shared" si="17"/>
        <v>-6.9275531557645049</v>
      </c>
      <c r="R58" s="170">
        <f t="shared" si="2"/>
        <v>5813</v>
      </c>
      <c r="S58" s="251">
        <f>S57+10</f>
        <v>42339</v>
      </c>
      <c r="T58" s="198">
        <v>-21.787439742405649</v>
      </c>
      <c r="U58" s="199">
        <v>11.089498784250033</v>
      </c>
      <c r="AM58" s="2"/>
    </row>
    <row r="59" spans="1:39" x14ac:dyDescent="0.2">
      <c r="D59" s="306"/>
      <c r="E59" s="306"/>
      <c r="F59" s="306"/>
      <c r="G59" s="84"/>
      <c r="H59" s="3"/>
      <c r="I59" s="3"/>
      <c r="J59" s="3"/>
      <c r="O59" s="171"/>
      <c r="P59" s="168"/>
      <c r="Q59" s="170"/>
      <c r="R59" s="170">
        <f t="shared" si="2"/>
        <v>5823</v>
      </c>
      <c r="S59" s="251">
        <f>S58+10</f>
        <v>42349</v>
      </c>
      <c r="T59" s="198">
        <v>-22.988909264808527</v>
      </c>
      <c r="U59" s="199">
        <v>6.9012846826183809</v>
      </c>
      <c r="AM59" s="2"/>
    </row>
    <row r="60" spans="1:39" x14ac:dyDescent="0.2">
      <c r="C60" s="102" t="s">
        <v>61</v>
      </c>
      <c r="D60" s="308" t="str">
        <f>IF($C$7,"Calculation of Date Points in Layout and Layout2","Berechnung der Datumspunkte in Layout u. Layout2")</f>
        <v>Calculation of Date Points in Layout and Layout2</v>
      </c>
      <c r="E60" s="308"/>
      <c r="F60" s="308"/>
      <c r="G60" s="308"/>
      <c r="H60" s="3"/>
      <c r="I60" s="3"/>
      <c r="O60" s="171"/>
      <c r="P60" s="168"/>
      <c r="Q60" s="170"/>
      <c r="R60" s="170">
        <f t="shared" si="2"/>
        <v>5833</v>
      </c>
      <c r="S60" s="251">
        <f>S59+10</f>
        <v>42359</v>
      </c>
      <c r="T60" s="198">
        <v>-23.43565159121577</v>
      </c>
      <c r="U60" s="199">
        <v>2.0819949427257138</v>
      </c>
    </row>
    <row r="61" spans="1:39" x14ac:dyDescent="0.2">
      <c r="A61" s="33"/>
      <c r="B61" s="25" t="s">
        <v>9</v>
      </c>
      <c r="H61" s="3"/>
      <c r="I61" s="293" t="str">
        <f>IF($C$7,"Width of Date Lines","Breite der Datumsleiste")</f>
        <v>Width of Date Lines</v>
      </c>
      <c r="J61" s="293" t="str">
        <f>IF($C$7,"Days since 1.1.2000","Tage seit 1.1.2000")</f>
        <v>Days since 1.1.2000</v>
      </c>
      <c r="O61" s="171"/>
      <c r="P61" s="168"/>
      <c r="Q61" s="170"/>
      <c r="R61" s="170">
        <f t="shared" si="2"/>
        <v>5844</v>
      </c>
      <c r="S61" s="252">
        <f>S60+11</f>
        <v>42370</v>
      </c>
      <c r="T61" s="200">
        <v>-23.025293504685006</v>
      </c>
      <c r="U61" s="201">
        <v>-3.3119446804536787</v>
      </c>
    </row>
    <row r="62" spans="1:39" s="26" customFormat="1" x14ac:dyDescent="0.2">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293"/>
      <c r="J62" s="293"/>
      <c r="K62" s="32" t="s">
        <v>0</v>
      </c>
      <c r="L62" s="32" t="s">
        <v>11</v>
      </c>
      <c r="M62" s="32" t="s">
        <v>12</v>
      </c>
      <c r="N62" s="33" t="s">
        <v>14</v>
      </c>
      <c r="O62" s="33" t="s">
        <v>15</v>
      </c>
      <c r="P62" s="32" t="s">
        <v>13</v>
      </c>
      <c r="Q62" s="33" t="s">
        <v>16</v>
      </c>
      <c r="R62" s="31"/>
    </row>
    <row r="63" spans="1:39" x14ac:dyDescent="0.2">
      <c r="A63" s="167">
        <f>J63</f>
        <v>731</v>
      </c>
      <c r="B63" s="81">
        <v>37257</v>
      </c>
      <c r="C63" s="4">
        <f>DATEVALUE(B63)-DATEVALUE($B$63)+1</f>
        <v>1</v>
      </c>
      <c r="D63" s="28">
        <f>ASIN(SIN(K63*$J$1)*SIN(P63*$J$1))/$J$1</f>
        <v>-22.991633987675449</v>
      </c>
      <c r="E63" s="29">
        <f>Q63*4</f>
        <v>-3.536725508672915</v>
      </c>
      <c r="F63" s="3">
        <f>-E63/2/360*3.1415926*$C$15</f>
        <v>3.0863751906327962E-2</v>
      </c>
      <c r="G63" s="178">
        <f t="shared" ref="G63:G70" si="26">TAN(D63*$J$1)*SIN(($K$18-$J$9))*$C$15/SIN($K$18)</f>
        <v>-0.80178655017256195</v>
      </c>
      <c r="H63" s="56">
        <f>B63</f>
        <v>37257</v>
      </c>
      <c r="I63" s="46">
        <v>-0.15</v>
      </c>
      <c r="J63" s="41">
        <f>DATEVALUE($B63)-DATE(2000,1,1)</f>
        <v>731</v>
      </c>
      <c r="K63" s="35">
        <f t="shared" ref="K63:K79" si="27">23.4393-J63/36525*0.013</f>
        <v>23.4390398220397</v>
      </c>
      <c r="L63" s="35">
        <f>36000.77/36525*J63+280.46</f>
        <v>1000.9682236824092</v>
      </c>
      <c r="M63" s="8">
        <f>35999.05/36525*J63+357.528</f>
        <v>1078.0018001368926</v>
      </c>
      <c r="N63" s="9">
        <f t="shared" ref="N63:N70" si="28">IF(L63&gt;0,L63-FLOOR(L63,360),L63+CEILING(-L63,360))</f>
        <v>280.96822368240919</v>
      </c>
      <c r="O63" s="9">
        <f t="shared" ref="O63:O68" si="29">IF(M63&gt;0,M63-FLOOR(M63,360),M63+CEILING(-M63,360))</f>
        <v>358.0018001368926</v>
      </c>
      <c r="P63" s="8">
        <f>N63+1.915*SIN(O63*$J$1)+0.02*SIN(2*$J$1*O63)</f>
        <v>280.90005739987919</v>
      </c>
      <c r="Q63" s="9">
        <f>-1.915*SIN(M63*$J$1)-0.02*SIN(M63*2*$J$1)+2.466*SIN(P63*2*$J$1)-0.053*SIN(P63*4*$J$1)</f>
        <v>-0.88418137716822875</v>
      </c>
      <c r="R63" s="7"/>
    </row>
    <row r="64" spans="1:39" x14ac:dyDescent="0.2">
      <c r="A64" s="167">
        <f t="shared" ref="A64:A78" si="30">J64</f>
        <v>763</v>
      </c>
      <c r="B64" s="81">
        <v>37289</v>
      </c>
      <c r="C64" s="4">
        <f t="shared" ref="C64:C78" si="31">DATEVALUE(B64)-DATEVALUE($B$63)+1</f>
        <v>33</v>
      </c>
      <c r="D64" s="28">
        <f t="shared" ref="D64:D78" si="32">ASIN(SIN(K64*$J$1)*SIN(P64*$J$1))/$J$1</f>
        <v>-16.7787237985372</v>
      </c>
      <c r="E64" s="29">
        <f t="shared" ref="E64:E78" si="33">Q64*4</f>
        <v>-13.717905902928857</v>
      </c>
      <c r="F64" s="3">
        <f t="shared" ref="F64:F78" si="34">-E64/2/360*3.1415926*$C$15</f>
        <v>0.11971131020038227</v>
      </c>
      <c r="G64" s="55">
        <f t="shared" si="26"/>
        <v>-0.56975575394743494</v>
      </c>
      <c r="H64" s="56">
        <f t="shared" ref="H64:H78" si="35">B64</f>
        <v>37289</v>
      </c>
      <c r="I64" s="42">
        <f t="shared" ref="I64:I70" si="36">I63</f>
        <v>-0.15</v>
      </c>
      <c r="J64" s="41">
        <f t="shared" ref="J64:J78" si="37">DATEVALUE($B64)-DATE(2000,1,1)</f>
        <v>763</v>
      </c>
      <c r="K64" s="35">
        <f t="shared" si="27"/>
        <v>23.439028432580425</v>
      </c>
      <c r="L64" s="35">
        <f t="shared" ref="L64:L79" si="38">36000.77/36525*J64+280.46</f>
        <v>1032.508939356605</v>
      </c>
      <c r="M64" s="8">
        <f t="shared" ref="M64:M78" si="39">35999.05/36525*J64+357.528</f>
        <v>1109.5410088980152</v>
      </c>
      <c r="N64" s="9">
        <f t="shared" si="28"/>
        <v>312.50893935660497</v>
      </c>
      <c r="O64" s="9">
        <f t="shared" si="29"/>
        <v>29.541008898015207</v>
      </c>
      <c r="P64" s="8">
        <f t="shared" ref="P64:P79" si="40">N64+1.915*SIN(O64*$J$1)+0.02*SIN(2*$J$1*O64)</f>
        <v>313.47028125299329</v>
      </c>
      <c r="Q64" s="9">
        <f t="shared" ref="Q64:Q79" si="41">-1.915*SIN(M64*$J$1)-0.02*SIN(M64*2*$J$1)+2.466*SIN(P64*2*$J$1)-0.053*SIN(P64*4*$J$1)</f>
        <v>-3.4294764757322143</v>
      </c>
      <c r="R64" s="7"/>
    </row>
    <row r="65" spans="1:18" x14ac:dyDescent="0.2">
      <c r="A65" s="167">
        <f t="shared" si="30"/>
        <v>790</v>
      </c>
      <c r="B65" s="81">
        <v>37316</v>
      </c>
      <c r="C65" s="4">
        <f t="shared" si="31"/>
        <v>60</v>
      </c>
      <c r="D65" s="28">
        <f t="shared" si="32"/>
        <v>-7.5430236304308433</v>
      </c>
      <c r="E65" s="29">
        <f t="shared" si="33"/>
        <v>-12.374940920330559</v>
      </c>
      <c r="F65" s="3">
        <f t="shared" si="34"/>
        <v>0.10799173005763243</v>
      </c>
      <c r="G65" s="55">
        <f t="shared" si="26"/>
        <v>-0.25022186189013279</v>
      </c>
      <c r="H65" s="56">
        <f t="shared" si="35"/>
        <v>37316</v>
      </c>
      <c r="I65" s="42">
        <f t="shared" si="36"/>
        <v>-0.15</v>
      </c>
      <c r="J65" s="41">
        <f t="shared" si="37"/>
        <v>790</v>
      </c>
      <c r="K65" s="35">
        <f t="shared" si="27"/>
        <v>23.439018822724162</v>
      </c>
      <c r="L65" s="35">
        <f t="shared" si="38"/>
        <v>1059.1214182067076</v>
      </c>
      <c r="M65" s="8">
        <f t="shared" si="39"/>
        <v>1136.1522162902122</v>
      </c>
      <c r="N65" s="9">
        <f t="shared" si="28"/>
        <v>339.12141820670763</v>
      </c>
      <c r="O65" s="9">
        <f t="shared" si="29"/>
        <v>56.152216290212209</v>
      </c>
      <c r="P65" s="8">
        <f t="shared" si="40"/>
        <v>340.73036807200702</v>
      </c>
      <c r="Q65" s="9">
        <f t="shared" si="41"/>
        <v>-3.0937352300826397</v>
      </c>
      <c r="R65" s="7"/>
    </row>
    <row r="66" spans="1:18" x14ac:dyDescent="0.2">
      <c r="A66" s="167">
        <f t="shared" si="30"/>
        <v>810</v>
      </c>
      <c r="B66" s="81">
        <v>37336</v>
      </c>
      <c r="C66" s="4">
        <f t="shared" si="31"/>
        <v>80</v>
      </c>
      <c r="D66" s="28">
        <f t="shared" si="32"/>
        <v>0.27877382880803792</v>
      </c>
      <c r="E66" s="29">
        <f t="shared" si="33"/>
        <v>-7.2350215468219243</v>
      </c>
      <c r="F66" s="3">
        <f t="shared" si="34"/>
        <v>6.3137472645378639E-2</v>
      </c>
      <c r="G66" s="55">
        <f t="shared" si="26"/>
        <v>9.1942427697755714E-3</v>
      </c>
      <c r="H66" s="56">
        <f t="shared" si="35"/>
        <v>37336</v>
      </c>
      <c r="I66" s="42">
        <f t="shared" si="36"/>
        <v>-0.15</v>
      </c>
      <c r="J66" s="41">
        <f t="shared" si="37"/>
        <v>810</v>
      </c>
      <c r="K66" s="35">
        <f t="shared" si="27"/>
        <v>23.439011704312115</v>
      </c>
      <c r="L66" s="35">
        <f t="shared" si="38"/>
        <v>1078.8343655030799</v>
      </c>
      <c r="M66" s="8">
        <f t="shared" si="39"/>
        <v>1155.864221765914</v>
      </c>
      <c r="N66" s="9">
        <f t="shared" si="28"/>
        <v>358.83436550307988</v>
      </c>
      <c r="O66" s="9">
        <f t="shared" si="29"/>
        <v>75.864221765913953</v>
      </c>
      <c r="P66" s="8">
        <f t="shared" si="40"/>
        <v>360.70085175211261</v>
      </c>
      <c r="Q66" s="9">
        <f t="shared" si="41"/>
        <v>-1.8087553867054811</v>
      </c>
      <c r="R66" s="7"/>
    </row>
    <row r="67" spans="1:18" x14ac:dyDescent="0.2">
      <c r="A67" s="167">
        <f t="shared" si="30"/>
        <v>821</v>
      </c>
      <c r="B67" s="81">
        <v>37347</v>
      </c>
      <c r="C67" s="4">
        <f t="shared" si="31"/>
        <v>91</v>
      </c>
      <c r="D67" s="28">
        <f t="shared" si="32"/>
        <v>4.5839374477366368</v>
      </c>
      <c r="E67" s="29">
        <f t="shared" si="33"/>
        <v>-3.9270772509077672</v>
      </c>
      <c r="F67" s="3">
        <f t="shared" si="34"/>
        <v>3.4270213419667184E-2</v>
      </c>
      <c r="G67" s="55">
        <f t="shared" si="26"/>
        <v>0.15150508696479545</v>
      </c>
      <c r="H67" s="56">
        <f t="shared" si="35"/>
        <v>37347</v>
      </c>
      <c r="I67" s="42">
        <f t="shared" si="36"/>
        <v>-0.15</v>
      </c>
      <c r="J67" s="41">
        <f t="shared" si="37"/>
        <v>821</v>
      </c>
      <c r="K67" s="35">
        <f t="shared" si="27"/>
        <v>23.439007789185489</v>
      </c>
      <c r="L67" s="35">
        <f t="shared" si="38"/>
        <v>1089.6764865160847</v>
      </c>
      <c r="M67" s="8">
        <f t="shared" si="39"/>
        <v>1166.7058247775497</v>
      </c>
      <c r="N67" s="9">
        <f t="shared" si="28"/>
        <v>9.6764865160846512</v>
      </c>
      <c r="O67" s="9">
        <f t="shared" si="29"/>
        <v>86.705824777549651</v>
      </c>
      <c r="P67" s="8">
        <f t="shared" si="40"/>
        <v>11.590616995142904</v>
      </c>
      <c r="Q67" s="9">
        <f t="shared" si="41"/>
        <v>-0.98176931272694179</v>
      </c>
      <c r="R67" s="7"/>
    </row>
    <row r="68" spans="1:18" x14ac:dyDescent="0.2">
      <c r="A68" s="167">
        <f t="shared" si="30"/>
        <v>851</v>
      </c>
      <c r="B68" s="81">
        <v>37377</v>
      </c>
      <c r="C68" s="4">
        <f t="shared" si="31"/>
        <v>121</v>
      </c>
      <c r="D68" s="28">
        <f t="shared" si="32"/>
        <v>15.110734712682955</v>
      </c>
      <c r="E68" s="29">
        <f t="shared" si="33"/>
        <v>2.9011442918658359</v>
      </c>
      <c r="F68" s="3">
        <f t="shared" si="34"/>
        <v>-2.5317259552383196E-2</v>
      </c>
      <c r="G68" s="55">
        <f t="shared" si="26"/>
        <v>0.51024864759936084</v>
      </c>
      <c r="H68" s="56">
        <f t="shared" si="35"/>
        <v>37377</v>
      </c>
      <c r="I68" s="42">
        <f t="shared" si="36"/>
        <v>-0.15</v>
      </c>
      <c r="J68" s="41">
        <f t="shared" si="37"/>
        <v>851</v>
      </c>
      <c r="K68" s="35">
        <f t="shared" si="27"/>
        <v>23.438997111567417</v>
      </c>
      <c r="L68" s="35">
        <f t="shared" si="38"/>
        <v>1119.2459074606434</v>
      </c>
      <c r="M68" s="8">
        <f t="shared" si="39"/>
        <v>1196.2738329911022</v>
      </c>
      <c r="N68" s="9">
        <f t="shared" si="28"/>
        <v>39.245907460643366</v>
      </c>
      <c r="O68" s="9">
        <f t="shared" si="29"/>
        <v>116.27383299110215</v>
      </c>
      <c r="P68" s="8">
        <f t="shared" si="40"/>
        <v>40.947189107359179</v>
      </c>
      <c r="Q68" s="9">
        <f t="shared" si="41"/>
        <v>0.72528607296645897</v>
      </c>
      <c r="R68" s="7"/>
    </row>
    <row r="69" spans="1:18" x14ac:dyDescent="0.2">
      <c r="A69" s="167">
        <f t="shared" si="30"/>
        <v>882</v>
      </c>
      <c r="B69" s="81">
        <v>37408</v>
      </c>
      <c r="C69" s="4">
        <f t="shared" si="31"/>
        <v>152</v>
      </c>
      <c r="D69" s="28">
        <f t="shared" si="32"/>
        <v>22.068588550280939</v>
      </c>
      <c r="E69" s="29">
        <f t="shared" si="33"/>
        <v>2.2070852359338602</v>
      </c>
      <c r="F69" s="3">
        <f t="shared" si="34"/>
        <v>-1.9260451791052971E-2</v>
      </c>
      <c r="G69" s="55">
        <f t="shared" si="26"/>
        <v>0.76610395845103185</v>
      </c>
      <c r="H69" s="56">
        <f t="shared" si="35"/>
        <v>37408</v>
      </c>
      <c r="I69" s="42">
        <f t="shared" si="36"/>
        <v>-0.15</v>
      </c>
      <c r="J69" s="41">
        <f t="shared" si="37"/>
        <v>882</v>
      </c>
      <c r="K69" s="35">
        <f t="shared" si="27"/>
        <v>23.438986078028748</v>
      </c>
      <c r="L69" s="35">
        <f t="shared" si="38"/>
        <v>1149.8009757700204</v>
      </c>
      <c r="M69" s="8">
        <f t="shared" si="39"/>
        <v>1226.8274414784396</v>
      </c>
      <c r="N69" s="9">
        <f t="shared" si="28"/>
        <v>69.800975770020386</v>
      </c>
      <c r="O69" s="9">
        <f>IF(M69&gt;0,M69-FLOOR(M69,360),M69+CEILING(-M69,360))</f>
        <v>146.8274414784396</v>
      </c>
      <c r="P69" s="8">
        <f t="shared" si="40"/>
        <v>70.830472184521099</v>
      </c>
      <c r="Q69" s="9">
        <f t="shared" si="41"/>
        <v>0.55177130898346505</v>
      </c>
      <c r="R69" s="7"/>
    </row>
    <row r="70" spans="1:18" x14ac:dyDescent="0.2">
      <c r="A70" s="167">
        <f t="shared" si="30"/>
        <v>902</v>
      </c>
      <c r="B70" s="81">
        <v>37428</v>
      </c>
      <c r="C70" s="4">
        <f t="shared" si="31"/>
        <v>172</v>
      </c>
      <c r="D70" s="28">
        <f t="shared" si="32"/>
        <v>23.438969739280981</v>
      </c>
      <c r="E70" s="29">
        <f t="shared" si="33"/>
        <v>-1.729113557405364</v>
      </c>
      <c r="F70" s="3">
        <f t="shared" si="34"/>
        <v>1.5089362101401018E-2</v>
      </c>
      <c r="G70" s="55">
        <f t="shared" si="26"/>
        <v>0.81925434587458745</v>
      </c>
      <c r="H70" s="56">
        <f t="shared" si="35"/>
        <v>37428</v>
      </c>
      <c r="I70" s="42">
        <f t="shared" si="36"/>
        <v>-0.15</v>
      </c>
      <c r="J70" s="41">
        <f t="shared" si="37"/>
        <v>902</v>
      </c>
      <c r="K70" s="35">
        <f t="shared" si="27"/>
        <v>23.438978959616701</v>
      </c>
      <c r="L70" s="35">
        <f t="shared" si="38"/>
        <v>1169.5139230663926</v>
      </c>
      <c r="M70" s="8">
        <f t="shared" si="39"/>
        <v>1246.5394469541411</v>
      </c>
      <c r="N70" s="9">
        <f t="shared" si="28"/>
        <v>89.513923066392636</v>
      </c>
      <c r="O70" s="9">
        <f t="shared" ref="O70:O79" si="42">IF(M70&gt;0,M70-FLOOR(M70,360),M70+CEILING(-M70,360))</f>
        <v>166.53944695414111</v>
      </c>
      <c r="P70" s="8">
        <f t="shared" si="40"/>
        <v>89.950633559325937</v>
      </c>
      <c r="Q70" s="9">
        <f t="shared" si="41"/>
        <v>-0.432278389351341</v>
      </c>
      <c r="R70" s="7"/>
    </row>
    <row r="71" spans="1:18" x14ac:dyDescent="0.2">
      <c r="A71" s="167">
        <f t="shared" si="30"/>
        <v>912</v>
      </c>
      <c r="B71" s="81">
        <v>37438</v>
      </c>
      <c r="C71" s="4">
        <f t="shared" si="31"/>
        <v>182</v>
      </c>
      <c r="D71" s="28">
        <f t="shared" si="32"/>
        <v>23.099576227833481</v>
      </c>
      <c r="E71" s="29">
        <f t="shared" si="33"/>
        <v>-3.8095160546352176</v>
      </c>
      <c r="F71" s="3">
        <f t="shared" si="34"/>
        <v>3.3244298463397763E-2</v>
      </c>
      <c r="G71" s="55">
        <f t="shared" ref="G71:G78" si="43">TAN(D71*$J$1)*SIN(($K$18-$J$9))*$C$15/SIN($K$18)</f>
        <v>0.80599085106427326</v>
      </c>
      <c r="H71" s="56">
        <f t="shared" si="35"/>
        <v>37438</v>
      </c>
      <c r="I71" s="46">
        <v>0.15</v>
      </c>
      <c r="J71" s="41">
        <f t="shared" si="37"/>
        <v>912</v>
      </c>
      <c r="K71" s="35">
        <f t="shared" si="27"/>
        <v>23.438975400410676</v>
      </c>
      <c r="L71" s="35">
        <f t="shared" si="38"/>
        <v>1179.3703967145789</v>
      </c>
      <c r="M71" s="8">
        <f t="shared" si="39"/>
        <v>1256.3954496919919</v>
      </c>
      <c r="N71" s="9">
        <f t="shared" ref="N71:N79" si="44">IF(L71&gt;0,L71-FLOOR(L71,360),L71+CEILING(-L71,360))</f>
        <v>99.370396714578874</v>
      </c>
      <c r="O71" s="9">
        <f t="shared" si="42"/>
        <v>176.39544969199187</v>
      </c>
      <c r="P71" s="8">
        <f t="shared" si="40"/>
        <v>99.488282527883797</v>
      </c>
      <c r="Q71" s="9">
        <f t="shared" si="41"/>
        <v>-0.9523790136588044</v>
      </c>
      <c r="R71" s="7"/>
    </row>
    <row r="72" spans="1:18" x14ac:dyDescent="0.2">
      <c r="A72" s="167">
        <f t="shared" si="30"/>
        <v>943</v>
      </c>
      <c r="B72" s="81">
        <v>37469</v>
      </c>
      <c r="C72" s="4">
        <f t="shared" si="31"/>
        <v>213</v>
      </c>
      <c r="D72" s="28">
        <f t="shared" si="32"/>
        <v>17.987191248733009</v>
      </c>
      <c r="E72" s="29">
        <f t="shared" si="33"/>
        <v>-6.332065439363042</v>
      </c>
      <c r="F72" s="3">
        <f t="shared" si="34"/>
        <v>5.5257694241718565E-2</v>
      </c>
      <c r="G72" s="55">
        <f t="shared" si="43"/>
        <v>0.61352004271574334</v>
      </c>
      <c r="H72" s="56">
        <f t="shared" si="35"/>
        <v>37469</v>
      </c>
      <c r="I72" s="42">
        <f t="shared" ref="I72:I78" si="45">I71</f>
        <v>0.15</v>
      </c>
      <c r="J72" s="41">
        <f t="shared" si="37"/>
        <v>943</v>
      </c>
      <c r="K72" s="35">
        <f t="shared" si="27"/>
        <v>23.438964366872003</v>
      </c>
      <c r="L72" s="35">
        <f t="shared" si="38"/>
        <v>1209.9254650239561</v>
      </c>
      <c r="M72" s="8">
        <f t="shared" si="39"/>
        <v>1286.9490581793293</v>
      </c>
      <c r="N72" s="9">
        <f t="shared" si="44"/>
        <v>129.92546502395612</v>
      </c>
      <c r="O72" s="9">
        <f t="shared" si="42"/>
        <v>206.94905817932931</v>
      </c>
      <c r="P72" s="8">
        <f t="shared" si="40"/>
        <v>129.07375002622885</v>
      </c>
      <c r="Q72" s="9">
        <f t="shared" si="41"/>
        <v>-1.5830163598407605</v>
      </c>
      <c r="R72" s="7"/>
    </row>
    <row r="73" spans="1:18" x14ac:dyDescent="0.2">
      <c r="A73" s="167">
        <f t="shared" si="30"/>
        <v>974</v>
      </c>
      <c r="B73" s="81">
        <v>37500</v>
      </c>
      <c r="C73" s="4">
        <f t="shared" si="31"/>
        <v>244</v>
      </c>
      <c r="D73" s="28">
        <f t="shared" si="32"/>
        <v>8.2390404334191629</v>
      </c>
      <c r="E73" s="29">
        <f t="shared" si="33"/>
        <v>-3.0974942797341226E-2</v>
      </c>
      <c r="F73" s="3">
        <f t="shared" si="34"/>
        <v>2.7030736410430694E-4</v>
      </c>
      <c r="G73" s="55">
        <f t="shared" si="43"/>
        <v>0.27361830298174616</v>
      </c>
      <c r="H73" s="56">
        <f t="shared" si="35"/>
        <v>37500</v>
      </c>
      <c r="I73" s="42">
        <f t="shared" si="45"/>
        <v>0.15</v>
      </c>
      <c r="J73" s="41">
        <f t="shared" si="37"/>
        <v>974</v>
      </c>
      <c r="K73" s="35">
        <f t="shared" si="27"/>
        <v>23.438953333333334</v>
      </c>
      <c r="L73" s="35">
        <f t="shared" si="38"/>
        <v>1240.4805333333331</v>
      </c>
      <c r="M73" s="8">
        <f t="shared" si="39"/>
        <v>1317.5026666666668</v>
      </c>
      <c r="N73" s="9">
        <f t="shared" si="44"/>
        <v>160.48053333333314</v>
      </c>
      <c r="O73" s="9">
        <f t="shared" si="42"/>
        <v>237.50266666666676</v>
      </c>
      <c r="P73" s="8">
        <f t="shared" si="40"/>
        <v>158.88351619671255</v>
      </c>
      <c r="Q73" s="9">
        <f t="shared" si="41"/>
        <v>-7.7437356993353065E-3</v>
      </c>
      <c r="R73" s="7"/>
    </row>
    <row r="74" spans="1:18" x14ac:dyDescent="0.2">
      <c r="A74" s="167">
        <f t="shared" si="30"/>
        <v>995</v>
      </c>
      <c r="B74" s="81">
        <v>37521</v>
      </c>
      <c r="C74" s="4">
        <f t="shared" si="31"/>
        <v>265</v>
      </c>
      <c r="D74" s="28">
        <f t="shared" si="32"/>
        <v>0.27342194351338306</v>
      </c>
      <c r="E74" s="29">
        <f t="shared" si="33"/>
        <v>7.2396130640470115</v>
      </c>
      <c r="F74" s="3">
        <f t="shared" si="34"/>
        <v>-6.3177541191315051E-2</v>
      </c>
      <c r="G74" s="55">
        <f t="shared" si="43"/>
        <v>9.0177294748923376E-3</v>
      </c>
      <c r="H74" s="56">
        <f t="shared" si="35"/>
        <v>37521</v>
      </c>
      <c r="I74" s="42">
        <f t="shared" si="45"/>
        <v>0.15</v>
      </c>
      <c r="J74" s="41">
        <f t="shared" si="37"/>
        <v>995</v>
      </c>
      <c r="K74" s="35">
        <f t="shared" si="27"/>
        <v>23.438945859000683</v>
      </c>
      <c r="L74" s="35">
        <f t="shared" si="38"/>
        <v>1261.1791279945242</v>
      </c>
      <c r="M74" s="8">
        <f t="shared" si="39"/>
        <v>1338.2002724161534</v>
      </c>
      <c r="N74" s="9">
        <f t="shared" si="44"/>
        <v>181.17912799452415</v>
      </c>
      <c r="O74" s="9">
        <f t="shared" si="42"/>
        <v>258.20027241615344</v>
      </c>
      <c r="P74" s="8">
        <f t="shared" si="40"/>
        <v>179.31260188950898</v>
      </c>
      <c r="Q74" s="9">
        <f t="shared" si="41"/>
        <v>1.8099032660117529</v>
      </c>
      <c r="R74" s="7"/>
    </row>
    <row r="75" spans="1:18" x14ac:dyDescent="0.2">
      <c r="A75" s="167">
        <f t="shared" si="30"/>
        <v>1004</v>
      </c>
      <c r="B75" s="81">
        <v>37530</v>
      </c>
      <c r="C75" s="4">
        <f t="shared" si="31"/>
        <v>274</v>
      </c>
      <c r="D75" s="28">
        <f t="shared" si="32"/>
        <v>-3.2284900689164786</v>
      </c>
      <c r="E75" s="29">
        <f t="shared" si="33"/>
        <v>10.292762076215309</v>
      </c>
      <c r="F75" s="3">
        <f t="shared" si="34"/>
        <v>-8.9821292144996248E-2</v>
      </c>
      <c r="G75" s="55">
        <f t="shared" si="43"/>
        <v>-0.10659086200465044</v>
      </c>
      <c r="H75" s="56">
        <f t="shared" si="35"/>
        <v>37530</v>
      </c>
      <c r="I75" s="42">
        <f t="shared" si="45"/>
        <v>0.15</v>
      </c>
      <c r="J75" s="41">
        <f t="shared" si="37"/>
        <v>1004</v>
      </c>
      <c r="K75" s="35">
        <f t="shared" si="27"/>
        <v>23.438942655715262</v>
      </c>
      <c r="L75" s="35">
        <f t="shared" si="38"/>
        <v>1270.0499542778916</v>
      </c>
      <c r="M75" s="8">
        <f t="shared" si="39"/>
        <v>1347.070674880219</v>
      </c>
      <c r="N75" s="9">
        <f t="shared" si="44"/>
        <v>190.04995427789163</v>
      </c>
      <c r="O75" s="9">
        <f t="shared" si="42"/>
        <v>267.07067488021903</v>
      </c>
      <c r="P75" s="8">
        <f t="shared" si="40"/>
        <v>188.13949804017381</v>
      </c>
      <c r="Q75" s="9">
        <f t="shared" si="41"/>
        <v>2.5731905190538273</v>
      </c>
      <c r="R75" s="7"/>
    </row>
    <row r="76" spans="1:18" x14ac:dyDescent="0.2">
      <c r="A76" s="167">
        <f t="shared" si="30"/>
        <v>1035</v>
      </c>
      <c r="B76" s="81">
        <v>37561</v>
      </c>
      <c r="C76" s="4">
        <f t="shared" si="31"/>
        <v>305</v>
      </c>
      <c r="D76" s="28">
        <f t="shared" si="32"/>
        <v>-14.462239926466959</v>
      </c>
      <c r="E76" s="29">
        <f t="shared" si="33"/>
        <v>16.405497459948663</v>
      </c>
      <c r="F76" s="3">
        <f t="shared" si="34"/>
        <v>-0.14316497060970421</v>
      </c>
      <c r="G76" s="55">
        <f t="shared" si="43"/>
        <v>-0.48737032177818446</v>
      </c>
      <c r="H76" s="56">
        <f t="shared" si="35"/>
        <v>37561</v>
      </c>
      <c r="I76" s="42">
        <f t="shared" si="45"/>
        <v>0.15</v>
      </c>
      <c r="J76" s="41">
        <f t="shared" si="37"/>
        <v>1035</v>
      </c>
      <c r="K76" s="35">
        <f t="shared" si="27"/>
        <v>23.43893162217659</v>
      </c>
      <c r="L76" s="35">
        <f t="shared" si="38"/>
        <v>1300.6050225872689</v>
      </c>
      <c r="M76" s="8">
        <f t="shared" si="39"/>
        <v>1377.6242833675565</v>
      </c>
      <c r="N76" s="9">
        <f t="shared" si="44"/>
        <v>220.60502258726888</v>
      </c>
      <c r="O76" s="9">
        <f t="shared" si="42"/>
        <v>297.62428336755647</v>
      </c>
      <c r="P76" s="8">
        <f t="shared" si="40"/>
        <v>218.89188625420451</v>
      </c>
      <c r="Q76" s="9">
        <f t="shared" si="41"/>
        <v>4.1013743649871657</v>
      </c>
      <c r="R76" s="7"/>
    </row>
    <row r="77" spans="1:18" x14ac:dyDescent="0.2">
      <c r="A77" s="167">
        <f t="shared" si="30"/>
        <v>1065</v>
      </c>
      <c r="B77" s="81">
        <v>37591</v>
      </c>
      <c r="C77" s="4">
        <f t="shared" si="31"/>
        <v>335</v>
      </c>
      <c r="D77" s="28">
        <f t="shared" si="32"/>
        <v>-21.817154235870575</v>
      </c>
      <c r="E77" s="29">
        <f t="shared" si="33"/>
        <v>11.003752948459946</v>
      </c>
      <c r="F77" s="3">
        <f t="shared" si="34"/>
        <v>-9.6025857875305404E-2</v>
      </c>
      <c r="G77" s="55">
        <f t="shared" si="43"/>
        <v>-0.75646555733424459</v>
      </c>
      <c r="H77" s="56">
        <f t="shared" si="35"/>
        <v>37591</v>
      </c>
      <c r="I77" s="42">
        <f t="shared" si="45"/>
        <v>0.15</v>
      </c>
      <c r="J77" s="41">
        <f t="shared" si="37"/>
        <v>1065</v>
      </c>
      <c r="K77" s="35">
        <f t="shared" si="27"/>
        <v>23.438920944558522</v>
      </c>
      <c r="L77" s="35">
        <f t="shared" si="38"/>
        <v>1330.1744435318274</v>
      </c>
      <c r="M77" s="8">
        <f t="shared" si="39"/>
        <v>1407.192291581109</v>
      </c>
      <c r="N77" s="9">
        <f t="shared" si="44"/>
        <v>250.17444353182736</v>
      </c>
      <c r="O77" s="9">
        <f t="shared" si="42"/>
        <v>327.19229158110898</v>
      </c>
      <c r="P77" s="8">
        <f t="shared" si="40"/>
        <v>249.11863986018673</v>
      </c>
      <c r="Q77" s="9">
        <f t="shared" si="41"/>
        <v>2.7509382371149864</v>
      </c>
      <c r="R77" s="7"/>
    </row>
    <row r="78" spans="1:18" x14ac:dyDescent="0.2">
      <c r="A78" s="167">
        <f t="shared" si="30"/>
        <v>1085</v>
      </c>
      <c r="B78" s="82">
        <v>37611</v>
      </c>
      <c r="C78" s="4">
        <f t="shared" si="31"/>
        <v>355</v>
      </c>
      <c r="D78" s="28">
        <f t="shared" si="32"/>
        <v>-23.437747056963104</v>
      </c>
      <c r="E78" s="29">
        <f t="shared" si="33"/>
        <v>1.9703160936736017</v>
      </c>
      <c r="F78" s="3">
        <f t="shared" si="34"/>
        <v>-1.7194251276516373E-2</v>
      </c>
      <c r="G78" s="54">
        <f t="shared" si="43"/>
        <v>-0.81920644175339763</v>
      </c>
      <c r="H78" s="57">
        <f t="shared" si="35"/>
        <v>37611</v>
      </c>
      <c r="I78" s="42">
        <f t="shared" si="45"/>
        <v>0.15</v>
      </c>
      <c r="J78" s="41">
        <f t="shared" si="37"/>
        <v>1085</v>
      </c>
      <c r="K78" s="36">
        <f t="shared" si="27"/>
        <v>23.438913826146475</v>
      </c>
      <c r="L78" s="36">
        <f t="shared" si="38"/>
        <v>1349.8873908281998</v>
      </c>
      <c r="M78" s="37">
        <f t="shared" si="39"/>
        <v>1426.9042970568105</v>
      </c>
      <c r="N78" s="38">
        <f>IF(L78&gt;0,L78-FLOOR(L78,360),L78+CEILING(-L78,360))</f>
        <v>269.88739082819984</v>
      </c>
      <c r="O78" s="9">
        <f t="shared" si="42"/>
        <v>346.90429705681049</v>
      </c>
      <c r="P78" s="8">
        <f t="shared" si="40"/>
        <v>269.44466603359336</v>
      </c>
      <c r="Q78" s="38">
        <f t="shared" si="41"/>
        <v>0.49257902341840043</v>
      </c>
      <c r="R78" s="7"/>
    </row>
    <row r="79" spans="1:18" ht="15.75" thickBot="1" x14ac:dyDescent="0.25">
      <c r="B79" s="165"/>
      <c r="C79" s="275">
        <v>366</v>
      </c>
      <c r="D79" s="272">
        <f>D$63</f>
        <v>-22.991633987675449</v>
      </c>
      <c r="E79" s="273">
        <f>E$63</f>
        <v>-3.536725508672915</v>
      </c>
      <c r="F79" s="8">
        <f>F$63</f>
        <v>3.0863751906327962E-2</v>
      </c>
      <c r="G79" s="274">
        <f>G$63</f>
        <v>-0.80178655017256195</v>
      </c>
      <c r="H79" s="164"/>
      <c r="I79" s="39"/>
      <c r="J79" s="34">
        <f>DATEVALUE($D$20)-DATE(2000,1,1)</f>
        <v>5689</v>
      </c>
      <c r="K79" s="35">
        <f t="shared" si="27"/>
        <v>23.437275167693361</v>
      </c>
      <c r="L79" s="35">
        <f t="shared" si="38"/>
        <v>5887.807858453114</v>
      </c>
      <c r="M79" s="8">
        <f>35999.05/36525*J79+357.528</f>
        <v>5964.607957563313</v>
      </c>
      <c r="N79" s="9">
        <f t="shared" si="44"/>
        <v>127.80785845311402</v>
      </c>
      <c r="O79" s="9">
        <f t="shared" si="42"/>
        <v>204.60795756331299</v>
      </c>
      <c r="P79" s="8">
        <f t="shared" si="40"/>
        <v>127.02558244822251</v>
      </c>
      <c r="Q79" s="40">
        <f t="shared" si="41"/>
        <v>-1.6168067828521395</v>
      </c>
      <c r="R79" s="7"/>
    </row>
    <row r="80" spans="1:18" x14ac:dyDescent="0.2">
      <c r="B80" s="338" t="str">
        <f>IF($C$7,"EoT and Declination  -  ","Deklination und Zeitgleichung  -  ")</f>
        <v xml:space="preserve">EoT and Declination  -  </v>
      </c>
      <c r="C80" s="339"/>
      <c r="D80" s="339"/>
      <c r="E80" s="339"/>
      <c r="F80" s="342" t="str">
        <f>$T$23</f>
        <v xml:space="preserve">Calculation for </v>
      </c>
      <c r="G80" s="342"/>
      <c r="H80" s="334">
        <f>$U$23</f>
        <v>2015</v>
      </c>
      <c r="I80" s="334"/>
      <c r="J80" s="334"/>
      <c r="K80" s="334"/>
      <c r="L80" s="334"/>
      <c r="M80" s="334"/>
      <c r="N80" s="335"/>
      <c r="O80" s="9"/>
      <c r="P80" s="8"/>
      <c r="Q80" s="40"/>
      <c r="R80" s="7"/>
    </row>
    <row r="81" spans="2:18" x14ac:dyDescent="0.2">
      <c r="B81" s="340"/>
      <c r="C81" s="341"/>
      <c r="D81" s="341"/>
      <c r="E81" s="341"/>
      <c r="F81" s="343"/>
      <c r="G81" s="343"/>
      <c r="H81" s="336"/>
      <c r="I81" s="336"/>
      <c r="J81" s="336"/>
      <c r="K81" s="336"/>
      <c r="L81" s="336"/>
      <c r="M81" s="336"/>
      <c r="N81" s="337"/>
      <c r="O81" s="9"/>
      <c r="P81" s="8"/>
      <c r="Q81" s="40"/>
      <c r="R81" s="7"/>
    </row>
    <row r="82" spans="2:18" x14ac:dyDescent="0.2">
      <c r="B82" s="118" t="str">
        <f>$C$62</f>
        <v>Day (Date)</v>
      </c>
      <c r="C82" s="117">
        <f>$S25</f>
        <v>42005</v>
      </c>
      <c r="D82" s="111">
        <f>$S26</f>
        <v>42015</v>
      </c>
      <c r="E82" s="112">
        <f>$S27</f>
        <v>42025</v>
      </c>
      <c r="F82" s="113">
        <f>$S28</f>
        <v>42036</v>
      </c>
      <c r="G82" s="111">
        <f>$S29</f>
        <v>42046</v>
      </c>
      <c r="H82" s="112">
        <f>$S30</f>
        <v>42056</v>
      </c>
      <c r="I82" s="113">
        <f>$S31</f>
        <v>42064</v>
      </c>
      <c r="J82" s="111">
        <f>$S32</f>
        <v>42074</v>
      </c>
      <c r="K82" s="112">
        <f>$S33</f>
        <v>42084</v>
      </c>
      <c r="L82" s="113">
        <f>$S34</f>
        <v>42095</v>
      </c>
      <c r="M82" s="111">
        <f>$S35</f>
        <v>42105</v>
      </c>
      <c r="N82" s="119">
        <f>$S36</f>
        <v>42115</v>
      </c>
      <c r="O82" s="9"/>
      <c r="P82" s="8"/>
      <c r="Q82" s="40"/>
      <c r="R82" s="7"/>
    </row>
    <row r="83" spans="2:18" x14ac:dyDescent="0.2">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x14ac:dyDescent="0.2">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x14ac:dyDescent="0.2">
      <c r="B85" s="110"/>
      <c r="C85" s="7"/>
      <c r="D85" s="7"/>
      <c r="E85" s="7"/>
      <c r="F85" s="7"/>
      <c r="G85" s="7"/>
      <c r="H85" s="7"/>
      <c r="I85" s="7"/>
      <c r="J85" s="7"/>
      <c r="K85" s="7"/>
      <c r="L85" s="7"/>
      <c r="M85" s="7"/>
      <c r="N85" s="65"/>
      <c r="O85" s="9"/>
      <c r="P85" s="8"/>
      <c r="Q85" s="40"/>
      <c r="R85" s="7"/>
    </row>
    <row r="86" spans="2:18" x14ac:dyDescent="0.2">
      <c r="B86" s="118" t="str">
        <f>B82</f>
        <v>Day (Date)</v>
      </c>
      <c r="C86" s="117">
        <f>$S37</f>
        <v>42125</v>
      </c>
      <c r="D86" s="111">
        <f>$S38</f>
        <v>42135</v>
      </c>
      <c r="E86" s="112">
        <f>$S39</f>
        <v>42145</v>
      </c>
      <c r="F86" s="113">
        <f>$S40</f>
        <v>42156</v>
      </c>
      <c r="G86" s="111">
        <f>$S41</f>
        <v>42166</v>
      </c>
      <c r="H86" s="112">
        <f>$S42</f>
        <v>42176</v>
      </c>
      <c r="I86" s="113">
        <f>$S43</f>
        <v>42186</v>
      </c>
      <c r="J86" s="111">
        <f>$S44</f>
        <v>42196</v>
      </c>
      <c r="K86" s="112">
        <f>$S45</f>
        <v>42206</v>
      </c>
      <c r="L86" s="113">
        <f>$S46</f>
        <v>42217</v>
      </c>
      <c r="M86" s="111">
        <f>$S47</f>
        <v>42227</v>
      </c>
      <c r="N86" s="119">
        <f>$S48</f>
        <v>42237</v>
      </c>
      <c r="O86" s="9"/>
      <c r="P86" s="8"/>
      <c r="Q86" s="40"/>
      <c r="R86" s="7"/>
    </row>
    <row r="87" spans="2:18" x14ac:dyDescent="0.2">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x14ac:dyDescent="0.2">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x14ac:dyDescent="0.2">
      <c r="B89" s="110"/>
      <c r="C89" s="7"/>
      <c r="D89" s="7"/>
      <c r="E89" s="7"/>
      <c r="F89" s="7"/>
      <c r="G89" s="7"/>
      <c r="H89" s="7"/>
      <c r="I89" s="7"/>
      <c r="J89" s="7"/>
      <c r="K89" s="7"/>
      <c r="L89" s="7"/>
      <c r="M89" s="7"/>
      <c r="N89" s="65"/>
      <c r="O89" s="9"/>
      <c r="P89" s="8"/>
      <c r="Q89" s="40"/>
      <c r="R89" s="7"/>
    </row>
    <row r="90" spans="2:18" x14ac:dyDescent="0.2">
      <c r="B90" s="118" t="str">
        <f>B86</f>
        <v>Day (Date)</v>
      </c>
      <c r="C90" s="117">
        <f>$S49</f>
        <v>42248</v>
      </c>
      <c r="D90" s="111">
        <f>$S50</f>
        <v>42258</v>
      </c>
      <c r="E90" s="112">
        <f>$S51</f>
        <v>42268</v>
      </c>
      <c r="F90" s="113">
        <f>$S52</f>
        <v>42278</v>
      </c>
      <c r="G90" s="111">
        <f>S$53</f>
        <v>42288</v>
      </c>
      <c r="H90" s="112">
        <f>$S54</f>
        <v>42298</v>
      </c>
      <c r="I90" s="113">
        <f>$S55</f>
        <v>42309</v>
      </c>
      <c r="J90" s="111">
        <f>$S56</f>
        <v>42319</v>
      </c>
      <c r="K90" s="112">
        <f>$S57</f>
        <v>42329</v>
      </c>
      <c r="L90" s="113">
        <f>$S58</f>
        <v>42339</v>
      </c>
      <c r="M90" s="111">
        <f>$S59</f>
        <v>42349</v>
      </c>
      <c r="N90" s="119">
        <f>$S60</f>
        <v>42359</v>
      </c>
      <c r="O90" s="9"/>
      <c r="P90" s="8"/>
      <c r="Q90" s="40"/>
      <c r="R90" s="7"/>
    </row>
    <row r="91" spans="2:18" x14ac:dyDescent="0.2">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x14ac:dyDescent="0.25">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x14ac:dyDescent="0.2">
      <c r="B93" s="123"/>
      <c r="C93" s="123"/>
      <c r="D93" s="123"/>
      <c r="E93" s="123"/>
      <c r="F93" s="123"/>
      <c r="G93" s="123"/>
      <c r="H93" s="123"/>
      <c r="I93" s="123"/>
      <c r="J93" s="123"/>
      <c r="K93" s="123"/>
      <c r="L93" s="123"/>
      <c r="M93" s="123"/>
      <c r="N93" s="123"/>
      <c r="O93" s="9"/>
      <c r="P93" s="8"/>
      <c r="Q93" s="40"/>
      <c r="R93" s="7"/>
    </row>
    <row r="94" spans="2:18" ht="15.75" thickBot="1" x14ac:dyDescent="0.25">
      <c r="B94" s="10"/>
      <c r="C94" s="10"/>
      <c r="G94" s="24"/>
      <c r="H94" s="4"/>
      <c r="I94" s="3"/>
      <c r="J94" s="10"/>
      <c r="K94" s="10"/>
      <c r="R94" s="7"/>
    </row>
    <row r="95" spans="2:18" x14ac:dyDescent="0.2">
      <c r="B95" s="61"/>
      <c r="C95" s="347" t="str">
        <f>IF($C$7,"Shadow Lengths at Noon","Schattenlänge zu Mittag")</f>
        <v>Shadow Lengths at Noon</v>
      </c>
      <c r="D95" s="347"/>
      <c r="E95" s="347"/>
      <c r="F95" s="346" t="str">
        <f>IF($C$7,"y-value of Shadow End at Noon","y-Wert des Schattens zu Mittag")</f>
        <v>y-value of Shadow End at Noon</v>
      </c>
      <c r="G95" s="347"/>
      <c r="H95" s="348"/>
      <c r="I95" s="9"/>
      <c r="J95" s="253"/>
      <c r="K95" s="8"/>
      <c r="L95" s="256" t="s">
        <v>49</v>
      </c>
      <c r="M95" s="257"/>
      <c r="N95" s="258"/>
    </row>
    <row r="96" spans="2:18" s="12" customFormat="1" x14ac:dyDescent="0.2">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x14ac:dyDescent="0.2">
      <c r="B97" s="64">
        <f>$C$17</f>
        <v>2</v>
      </c>
      <c r="C97" s="7">
        <f>$B97/TAN((90-$C$9+$D$19+23.44)*$J$1)*SIN($K$18)+$B97*COS($K$18)</f>
        <v>-0.15104774677532046</v>
      </c>
      <c r="D97" s="7">
        <f>$B97/TAN((90-$C$9+$D$19)*$J$1)*SIN($K$18)+$B97*COS($K$18)</f>
        <v>0.69338313623032355</v>
      </c>
      <c r="E97" s="7">
        <f>$B97/TAN((90-$C$9+$D$19-23.44)*$J$1)*SIN($K$18)+$B97*COS($K$18)</f>
        <v>1.836583371908336</v>
      </c>
      <c r="F97" s="60">
        <f>$C97-$G$78</f>
        <v>0.66815869497807712</v>
      </c>
      <c r="G97" s="7">
        <f>D97</f>
        <v>0.69338313623032355</v>
      </c>
      <c r="H97" s="65">
        <f>$E97+$G$78</f>
        <v>1.0173769301549385</v>
      </c>
      <c r="I97" s="254" t="s">
        <v>22</v>
      </c>
      <c r="J97" s="255">
        <f>-$C$15</f>
        <v>-2</v>
      </c>
      <c r="K97" s="255">
        <v>0</v>
      </c>
      <c r="L97" s="261">
        <v>23.44</v>
      </c>
      <c r="M97" s="40">
        <f>ACOS(SIN($L$97*$J$1)/COS($J$9))/$J$1</f>
        <v>65.101223740980871</v>
      </c>
      <c r="N97" s="262">
        <f>TAN($L97*$J$1)*COS($C$9*$J$1)*$C$15*TAN($M97*$J$1)</f>
        <v>1.7651180818649599</v>
      </c>
    </row>
    <row r="98" spans="2:14" x14ac:dyDescent="0.2">
      <c r="B98" s="66">
        <v>1.6</v>
      </c>
      <c r="C98" s="7">
        <f>$B98/TAN((90-$C$9+$D$19+23.44)*$J$1)*SIN($K$18)+$B98*COS($K$18)</f>
        <v>-0.12083819742025637</v>
      </c>
      <c r="D98" s="7">
        <f>$B98/TAN((90-$C$9+$D$19)*$J$1)*SIN($K$18)+$B98*COS($K$18)</f>
        <v>0.55470650898425888</v>
      </c>
      <c r="E98" s="7">
        <f>$B98/TAN((90-$C$9+$D$19-23.44)*$J$1)*SIN($K$18)+$B98*COS($K$18)</f>
        <v>1.4692666975266688</v>
      </c>
      <c r="F98" s="60">
        <f>$C98-$G$78</f>
        <v>0.69836824433314126</v>
      </c>
      <c r="G98" s="7">
        <f>D98</f>
        <v>0.55470650898425888</v>
      </c>
      <c r="H98" s="65">
        <f>$E98+$G$78</f>
        <v>0.6500602557732712</v>
      </c>
      <c r="I98" s="254"/>
      <c r="J98" s="255"/>
      <c r="K98" s="255"/>
      <c r="L98" s="261">
        <v>1E-4</v>
      </c>
      <c r="M98" s="40">
        <f>ACOS(SIN($L$98*$J$1)/COS($J$9))/DATA!$J$1</f>
        <v>89.999894160733021</v>
      </c>
      <c r="N98" s="262">
        <f>TAN($L98*$J$1)*COS($C$9*$J$1)*$C$15*TAN($M98*$J$1)</f>
        <v>1.7854033649377321</v>
      </c>
    </row>
    <row r="99" spans="2:14" x14ac:dyDescent="0.2">
      <c r="B99" s="66">
        <v>1.8</v>
      </c>
      <c r="C99" s="7">
        <f>$B99/TAN((90-$C$9+$D$19+23.44)*$J$1)*SIN($K$18)+$B99*COS($K$18)</f>
        <v>-0.13594297209778841</v>
      </c>
      <c r="D99" s="7">
        <f>$B99/TAN((90-$C$9+$D$19)*$J$1)*SIN($K$18)+$B99*COS($K$18)</f>
        <v>0.62404482260729122</v>
      </c>
      <c r="E99" s="7">
        <f>$B99/TAN((90-$C$9+$D$19-23.44)*$J$1)*SIN($K$18)+$B99*COS($K$18)</f>
        <v>1.6529250347175024</v>
      </c>
      <c r="F99" s="60">
        <f>$C99-$G$78</f>
        <v>0.68326346965560925</v>
      </c>
      <c r="G99" s="7">
        <f>D99</f>
        <v>0.62404482260729122</v>
      </c>
      <c r="H99" s="65">
        <f>$E99+$G$78</f>
        <v>0.83371859296410478</v>
      </c>
      <c r="I99" s="254" t="s">
        <v>23</v>
      </c>
      <c r="J99" s="255">
        <v>0</v>
      </c>
      <c r="K99" s="255">
        <f>$C$16</f>
        <v>0.65512843771623541</v>
      </c>
      <c r="L99" s="263"/>
      <c r="M99" s="40"/>
      <c r="N99" s="260"/>
    </row>
    <row r="100" spans="2:14" ht="15.75" thickBot="1" x14ac:dyDescent="0.25">
      <c r="B100" s="67">
        <v>2</v>
      </c>
      <c r="C100" s="195">
        <f>$B100/TAN((90-$C$9+$D$19+23.44)*$J$1)*SIN($K$18)+$B100*COS($K$18)</f>
        <v>-0.15104774677532046</v>
      </c>
      <c r="D100" s="196">
        <f>$B100/TAN((90-$C$9+$D$19)*$J$1)*SIN($K$18)+$B100*COS($K$18)</f>
        <v>0.69338313623032355</v>
      </c>
      <c r="E100" s="197">
        <f>$B100/TAN((90-$C$9+$D$19-23.44)*$J$1)*SIN($K$18)+$B100*COS($K$18)</f>
        <v>1.836583371908336</v>
      </c>
      <c r="F100" s="68">
        <f>$C100-$G$78</f>
        <v>0.66815869497807712</v>
      </c>
      <c r="G100" s="45">
        <f>D100</f>
        <v>0.69338313623032355</v>
      </c>
      <c r="H100" s="69">
        <f>$E100+$G$78</f>
        <v>1.0173769301549385</v>
      </c>
      <c r="I100" s="254" t="s">
        <v>22</v>
      </c>
      <c r="J100" s="255">
        <v>0</v>
      </c>
      <c r="K100" s="255">
        <f>-$C$16</f>
        <v>-0.65512843771623541</v>
      </c>
      <c r="L100" s="263" t="s">
        <v>45</v>
      </c>
      <c r="M100" s="40"/>
      <c r="N100" s="260">
        <f>N98-N97</f>
        <v>2.028528307277222E-2</v>
      </c>
    </row>
    <row r="101" spans="2:14" x14ac:dyDescent="0.2">
      <c r="I101" s="9"/>
      <c r="J101" s="181"/>
      <c r="K101" s="181"/>
      <c r="L101" s="263"/>
      <c r="M101" s="40" t="s">
        <v>44</v>
      </c>
      <c r="N101" s="260">
        <f>(N97+N98)/2</f>
        <v>1.775260723401346</v>
      </c>
    </row>
    <row r="102" spans="2:14" x14ac:dyDescent="0.2">
      <c r="I102" s="9"/>
      <c r="J102" s="181"/>
      <c r="K102" s="181"/>
      <c r="L102" s="263" t="s">
        <v>43</v>
      </c>
      <c r="M102" s="40"/>
      <c r="N102" s="260"/>
    </row>
    <row r="103" spans="2:14" x14ac:dyDescent="0.2">
      <c r="I103" s="9"/>
      <c r="J103" s="181"/>
      <c r="K103" s="181"/>
      <c r="L103" s="263" t="s">
        <v>42</v>
      </c>
      <c r="M103" s="40">
        <v>10</v>
      </c>
      <c r="N103" s="260"/>
    </row>
    <row r="104" spans="2:14" x14ac:dyDescent="0.2">
      <c r="B104" s="183" t="str">
        <f>IF($C$7,"Azimuth for Rise/Set :","Azimut für Auf- / Untergang :")</f>
        <v>Azimuth for Rise/Set :</v>
      </c>
      <c r="C104" s="105"/>
      <c r="D104" s="106" t="s">
        <v>17</v>
      </c>
      <c r="E104" s="105"/>
      <c r="F104" s="105"/>
      <c r="G104" s="345" t="s">
        <v>10</v>
      </c>
      <c r="H104" s="355"/>
      <c r="I104" s="9"/>
      <c r="J104" s="181"/>
      <c r="K104" s="181"/>
      <c r="L104" s="263" t="s">
        <v>41</v>
      </c>
      <c r="M104" s="40">
        <v>31</v>
      </c>
      <c r="N104" s="260"/>
    </row>
    <row r="105" spans="2:14" x14ac:dyDescent="0.2">
      <c r="B105" s="331" t="str">
        <f>IF($C$7,"Rise/Set Marks for Declination","Auf-/Untergang für Deklination")</f>
        <v>Rise/Set Marks for Declination</v>
      </c>
      <c r="C105" s="332"/>
      <c r="D105" s="184">
        <f>$D$21</f>
        <v>-23.44</v>
      </c>
      <c r="E105" s="345"/>
      <c r="F105" s="345"/>
      <c r="G105" s="105">
        <v>0</v>
      </c>
      <c r="H105" s="185">
        <f>TAN(D105*$J$1)*SIN(($K$18-$J$9))*$C$15/SIN($K$18)</f>
        <v>-0.81929471169568935</v>
      </c>
      <c r="I105" s="9"/>
      <c r="J105" s="181">
        <f>$I$78</f>
        <v>0.15</v>
      </c>
      <c r="K105" s="181">
        <f>$G$78</f>
        <v>-0.81920644175339763</v>
      </c>
      <c r="L105" s="263" t="s">
        <v>40</v>
      </c>
      <c r="M105" s="40">
        <v>30</v>
      </c>
      <c r="N105" s="260"/>
    </row>
    <row r="106" spans="2:14" x14ac:dyDescent="0.2">
      <c r="B106" s="60" t="str">
        <f>IF($C$7,"Azimuth (from North)","Azimut (von Norden)")</f>
        <v>Azimuth (from North)</v>
      </c>
      <c r="C106" s="7"/>
      <c r="D106" s="7">
        <f>ACOS(SIN($D$105*$J$1)/COS($C$9*$J$1))/$J$1</f>
        <v>114.89877625901913</v>
      </c>
      <c r="E106" s="344" t="str">
        <f>IF($C$7,"SunsetMark","Untergangspunkt")</f>
        <v>SunsetMark</v>
      </c>
      <c r="F106" s="344"/>
      <c r="G106" s="7">
        <f>$G$21</f>
        <v>1.7651180818649603</v>
      </c>
      <c r="H106" s="107">
        <v>0</v>
      </c>
      <c r="I106" s="9"/>
      <c r="J106" s="181">
        <f>$I$63</f>
        <v>-0.15</v>
      </c>
      <c r="K106" s="181">
        <f>$G$78</f>
        <v>-0.81920644175339763</v>
      </c>
      <c r="L106" s="263" t="s">
        <v>39</v>
      </c>
      <c r="M106" s="40">
        <v>21</v>
      </c>
      <c r="N106" s="260"/>
    </row>
    <row r="107" spans="2:14" x14ac:dyDescent="0.2">
      <c r="B107" s="60" t="str">
        <f>IF($C$7,"Angle with horiz. East/West-direction","Winkel zur horiz. O/W-Richtung")</f>
        <v>Angle with horiz. East/West-direction</v>
      </c>
      <c r="C107" s="7"/>
      <c r="D107" s="7">
        <f>90-D106</f>
        <v>-24.898776259019129</v>
      </c>
      <c r="E107" s="344"/>
      <c r="F107" s="344"/>
      <c r="G107" s="7">
        <v>0</v>
      </c>
      <c r="H107" s="107">
        <f>-H105</f>
        <v>0.81929471169568935</v>
      </c>
      <c r="I107" s="9"/>
      <c r="J107" s="181">
        <f>$I$63</f>
        <v>-0.15</v>
      </c>
      <c r="K107" s="181">
        <f>-$G$78</f>
        <v>0.81920644175339763</v>
      </c>
      <c r="L107" s="263" t="s">
        <v>38</v>
      </c>
      <c r="M107" s="40">
        <v>10</v>
      </c>
      <c r="N107" s="260"/>
    </row>
    <row r="108" spans="2:14" x14ac:dyDescent="0.2">
      <c r="B108" s="60" t="str">
        <f>IF($C$7,"SeasonMarker on E/W-axis","Auf-/ Untergangspunkt (x-Achse)")</f>
        <v>SeasonMarker on E/W-axis</v>
      </c>
      <c r="C108" s="7"/>
      <c r="D108" s="7">
        <f>$D$109*COS($D$19*$J$1)/TAN(D107*$J$1)</f>
        <v>1.7651180818649603</v>
      </c>
      <c r="E108" s="344" t="str">
        <f>IF($C$7,"SunriseMark","Aufgangspunkt")</f>
        <v>SunriseMark</v>
      </c>
      <c r="F108" s="344"/>
      <c r="G108" s="7">
        <f>-$G$21</f>
        <v>-1.7651180818649603</v>
      </c>
      <c r="H108" s="107">
        <v>0</v>
      </c>
      <c r="I108" s="9"/>
      <c r="J108" s="181">
        <f>$I$78</f>
        <v>0.15</v>
      </c>
      <c r="K108" s="181">
        <f>-$G$78</f>
        <v>0.81920644175339763</v>
      </c>
      <c r="L108" s="263" t="s">
        <v>37</v>
      </c>
      <c r="M108" s="40">
        <v>30.5</v>
      </c>
      <c r="N108" s="260"/>
    </row>
    <row r="109" spans="2:14" x14ac:dyDescent="0.2">
      <c r="B109" s="108" t="str">
        <f>IF($C$7,"Date Point on y-Axis","Datumspunkt auf y-Achse")</f>
        <v>Date Point on y-Axis</v>
      </c>
      <c r="C109" s="89"/>
      <c r="D109" s="89">
        <f>$C$15*TAN($D$21*$J$1)*SIN(($K$18-$J$9))/SIN($K$18)</f>
        <v>-0.81929471169568935</v>
      </c>
      <c r="E109" s="333"/>
      <c r="F109" s="333"/>
      <c r="G109" s="89">
        <v>0</v>
      </c>
      <c r="H109" s="109">
        <f>$H$105</f>
        <v>-0.81929471169568935</v>
      </c>
      <c r="I109" s="9"/>
      <c r="J109" s="181">
        <f>$I$78</f>
        <v>0.15</v>
      </c>
      <c r="K109" s="181">
        <f>$G$78</f>
        <v>-0.81920644175339763</v>
      </c>
      <c r="L109" s="263" t="s">
        <v>36</v>
      </c>
      <c r="M109" s="40">
        <v>30.5</v>
      </c>
      <c r="N109" s="260"/>
    </row>
    <row r="110" spans="2:14" ht="15.75" thickBot="1" x14ac:dyDescent="0.25">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x14ac:dyDescent="0.2">
      <c r="B111" s="194" t="str">
        <f>IF($C$7,"Shadow ends at :","Schattengrenze bei :")</f>
        <v>Shadow ends at :</v>
      </c>
      <c r="C111" s="194"/>
      <c r="D111" s="194">
        <f>IF($D$19&lt;&gt;0,$G$17+$C$17*SIN($D$18*$J$1)/SIN($D$19*$J$1),100)</f>
        <v>100</v>
      </c>
      <c r="E111" s="194">
        <v>-4</v>
      </c>
    </row>
    <row r="112" spans="2:14" x14ac:dyDescent="0.2">
      <c r="B112" s="194"/>
      <c r="C112" s="194"/>
      <c r="D112" s="194">
        <f>D111</f>
        <v>100</v>
      </c>
      <c r="E112" s="194">
        <v>4</v>
      </c>
    </row>
  </sheetData>
  <mergeCells count="44">
    <mergeCell ref="AJ22:AP22"/>
    <mergeCell ref="AJ23:AP23"/>
    <mergeCell ref="G104:H104"/>
    <mergeCell ref="K25:M25"/>
    <mergeCell ref="I24:I25"/>
    <mergeCell ref="J24:J2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E16:F16"/>
    <mergeCell ref="E17:F17"/>
    <mergeCell ref="B4:D4"/>
    <mergeCell ref="E1:H4"/>
    <mergeCell ref="E5:H5"/>
    <mergeCell ref="B5:D5"/>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mc:AlternateContent xmlns:mc="http://schemas.openxmlformats.org/markup-compatibility/2006">
      <mc:Choice Requires="x14">
        <control shapeId="43027" r:id="rId4" name="Control 19">
          <controlPr print="0" autoLine="0" r:id="rId5">
            <anchor moveWithCells="1">
              <from>
                <xdr:col>4</xdr:col>
                <xdr:colOff>0</xdr:colOff>
                <xdr:row>10</xdr:row>
                <xdr:rowOff>209550</xdr:rowOff>
              </from>
              <to>
                <xdr:col>4</xdr:col>
                <xdr:colOff>1047750</xdr:colOff>
                <xdr:row>12</xdr:row>
                <xdr:rowOff>38100</xdr:rowOff>
              </to>
            </anchor>
          </controlPr>
        </control>
      </mc:Choice>
      <mc:Fallback>
        <control shapeId="43027" r:id="rId4" name="Control 19"/>
      </mc:Fallback>
    </mc:AlternateContent>
    <mc:AlternateContent xmlns:mc="http://schemas.openxmlformats.org/markup-compatibility/2006">
      <mc:Choice Requires="x14">
        <control shapeId="43026" r:id="rId6" name="Control 18">
          <controlPr print="0" autoLine="0" r:id="rId7">
            <anchor moveWithCells="1">
              <from>
                <xdr:col>1</xdr:col>
                <xdr:colOff>1028700</xdr:colOff>
                <xdr:row>0</xdr:row>
                <xdr:rowOff>219075</xdr:rowOff>
              </from>
              <to>
                <xdr:col>2</xdr:col>
                <xdr:colOff>838200</xdr:colOff>
                <xdr:row>2</xdr:row>
                <xdr:rowOff>0</xdr:rowOff>
              </to>
            </anchor>
          </controlPr>
        </control>
      </mc:Choice>
      <mc:Fallback>
        <control shapeId="43026" r:id="rId6" name="Control 18"/>
      </mc:Fallback>
    </mc:AlternateContent>
    <mc:AlternateContent xmlns:mc="http://schemas.openxmlformats.org/markup-compatibility/2006">
      <mc:Choice Requires="x14">
        <control shapeId="43025" r:id="rId8" name="CommandButton1">
          <controlPr print="0" autoFill="0" autoLine="0" r:id="rId9">
            <anchor moveWithCells="1">
              <from>
                <xdr:col>1</xdr:col>
                <xdr:colOff>19050</xdr:colOff>
                <xdr:row>0</xdr:row>
                <xdr:rowOff>219075</xdr:rowOff>
              </from>
              <to>
                <xdr:col>1</xdr:col>
                <xdr:colOff>1095375</xdr:colOff>
                <xdr:row>2</xdr:row>
                <xdr:rowOff>0</xdr:rowOff>
              </to>
            </anchor>
          </controlPr>
        </control>
      </mc:Choice>
      <mc:Fallback>
        <control shapeId="43025" r:id="rId8"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G26"/>
  <sheetViews>
    <sheetView workbookViewId="0">
      <selection activeCell="D28" sqref="D28"/>
    </sheetView>
  </sheetViews>
  <sheetFormatPr baseColWidth="10" defaultRowHeight="15" x14ac:dyDescent="0.2"/>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x14ac:dyDescent="0.2">
      <c r="A1" s="239"/>
      <c r="B1" s="218"/>
      <c r="C1" s="70"/>
      <c r="D1" s="70"/>
      <c r="E1" s="70"/>
      <c r="F1" s="70"/>
      <c r="G1" s="70"/>
    </row>
    <row r="2" spans="1:7" ht="11.45" customHeight="1" x14ac:dyDescent="0.2">
      <c r="A2" s="240"/>
      <c r="B2" s="219"/>
      <c r="C2" s="70"/>
      <c r="D2" s="70"/>
      <c r="E2" s="70"/>
      <c r="F2" s="70"/>
      <c r="G2" s="70"/>
    </row>
    <row r="3" spans="1:7" ht="13.15" customHeight="1" x14ac:dyDescent="0.2">
      <c r="A3" s="240"/>
      <c r="B3" s="219"/>
      <c r="C3" s="70"/>
      <c r="D3" s="70"/>
      <c r="E3" s="70"/>
      <c r="F3" s="70"/>
      <c r="G3" s="70"/>
    </row>
    <row r="4" spans="1:7" x14ac:dyDescent="0.2">
      <c r="A4" s="240"/>
      <c r="B4" s="219"/>
      <c r="C4" s="70"/>
      <c r="D4" s="70"/>
      <c r="E4" s="70"/>
      <c r="F4" s="70"/>
      <c r="G4" s="70"/>
    </row>
    <row r="5" spans="1:7" x14ac:dyDescent="0.2">
      <c r="A5" s="240"/>
      <c r="B5" s="219"/>
      <c r="C5" s="70"/>
      <c r="D5" s="70"/>
      <c r="E5" s="70"/>
      <c r="F5" s="70"/>
      <c r="G5" s="70"/>
    </row>
    <row r="6" spans="1:7" x14ac:dyDescent="0.2">
      <c r="A6" s="240"/>
      <c r="B6" s="219"/>
      <c r="C6" s="70"/>
      <c r="D6" s="70"/>
      <c r="E6" s="70"/>
      <c r="F6" s="70"/>
      <c r="G6" s="70"/>
    </row>
    <row r="7" spans="1:7" x14ac:dyDescent="0.2">
      <c r="A7" s="240"/>
      <c r="B7" s="219"/>
      <c r="C7" s="70"/>
      <c r="D7" s="70"/>
      <c r="E7" s="70"/>
      <c r="F7" s="70"/>
      <c r="G7" s="70"/>
    </row>
    <row r="8" spans="1:7" x14ac:dyDescent="0.2">
      <c r="A8" s="240"/>
      <c r="B8" s="219"/>
      <c r="C8" s="70"/>
      <c r="D8" s="70"/>
      <c r="E8" s="70"/>
      <c r="F8" s="70"/>
      <c r="G8" s="70"/>
    </row>
    <row r="9" spans="1:7" x14ac:dyDescent="0.2">
      <c r="A9" s="240"/>
      <c r="B9" s="219"/>
      <c r="C9" s="70"/>
      <c r="D9" s="70"/>
      <c r="E9" s="70"/>
      <c r="F9" s="70"/>
      <c r="G9" s="70"/>
    </row>
    <row r="10" spans="1:7" x14ac:dyDescent="0.2">
      <c r="A10" s="240"/>
      <c r="B10" s="219"/>
      <c r="C10" s="70"/>
      <c r="D10" s="70"/>
      <c r="E10" s="70"/>
      <c r="F10" s="70"/>
      <c r="G10" s="70"/>
    </row>
    <row r="11" spans="1:7" x14ac:dyDescent="0.2">
      <c r="A11" s="240"/>
      <c r="B11" s="219"/>
      <c r="C11" s="70"/>
      <c r="D11" s="70"/>
      <c r="E11" s="70"/>
      <c r="F11" s="70"/>
      <c r="G11" s="70"/>
    </row>
    <row r="12" spans="1:7" x14ac:dyDescent="0.2">
      <c r="A12" s="240"/>
      <c r="B12" s="219"/>
      <c r="C12" s="70"/>
      <c r="D12" s="70"/>
      <c r="E12" s="70"/>
      <c r="F12" s="70"/>
      <c r="G12" s="70"/>
    </row>
    <row r="13" spans="1:7" x14ac:dyDescent="0.2">
      <c r="A13" s="240"/>
      <c r="B13" s="219"/>
      <c r="C13" s="70"/>
      <c r="D13" s="70"/>
      <c r="E13" s="70"/>
      <c r="F13" s="70"/>
      <c r="G13" s="70"/>
    </row>
    <row r="14" spans="1:7" x14ac:dyDescent="0.2">
      <c r="A14" s="240"/>
      <c r="B14" s="219"/>
      <c r="C14" s="70"/>
      <c r="D14" s="70"/>
      <c r="E14" s="70"/>
      <c r="F14" s="70"/>
      <c r="G14" s="70"/>
    </row>
    <row r="15" spans="1:7" x14ac:dyDescent="0.2">
      <c r="A15" s="240"/>
      <c r="B15" s="219"/>
      <c r="C15" s="70"/>
      <c r="D15" s="70"/>
      <c r="E15" s="70"/>
      <c r="F15" s="70"/>
      <c r="G15" s="70"/>
    </row>
    <row r="16" spans="1:7" x14ac:dyDescent="0.2">
      <c r="A16" s="240"/>
      <c r="B16" s="219"/>
      <c r="C16" s="70"/>
      <c r="D16" s="70"/>
      <c r="E16" s="70"/>
      <c r="F16" s="70"/>
      <c r="G16" s="70"/>
    </row>
    <row r="17" spans="1:7" x14ac:dyDescent="0.2">
      <c r="A17" s="240"/>
      <c r="B17" s="219"/>
      <c r="C17" s="70"/>
      <c r="D17" s="70"/>
      <c r="E17" s="70"/>
      <c r="F17" s="70"/>
      <c r="G17" s="70"/>
    </row>
    <row r="18" spans="1:7" x14ac:dyDescent="0.2">
      <c r="A18" s="240"/>
      <c r="B18" s="219"/>
      <c r="C18" s="70"/>
      <c r="D18" s="70"/>
      <c r="E18" s="70"/>
      <c r="F18" s="70"/>
      <c r="G18" s="70"/>
    </row>
    <row r="19" spans="1:7" x14ac:dyDescent="0.2">
      <c r="A19" s="240"/>
      <c r="B19" s="219"/>
      <c r="C19" s="70"/>
      <c r="D19" s="70"/>
      <c r="E19" s="70"/>
      <c r="F19" s="70"/>
      <c r="G19" s="70"/>
    </row>
    <row r="20" spans="1:7" x14ac:dyDescent="0.2">
      <c r="A20" s="240"/>
      <c r="B20" s="220"/>
      <c r="C20" s="70"/>
      <c r="D20" s="70"/>
      <c r="E20" s="70"/>
      <c r="F20" s="70"/>
      <c r="G20" s="70"/>
    </row>
    <row r="21" spans="1:7" x14ac:dyDescent="0.2">
      <c r="A21" s="240"/>
      <c r="B21" s="70"/>
      <c r="C21" s="70"/>
      <c r="D21" s="70"/>
      <c r="E21" s="70"/>
      <c r="F21" s="70"/>
      <c r="G21" s="70"/>
    </row>
    <row r="22" spans="1:7" x14ac:dyDescent="0.2">
      <c r="A22" s="241"/>
      <c r="B22" s="30"/>
      <c r="C22" s="30"/>
      <c r="D22" s="30"/>
      <c r="E22" s="30"/>
      <c r="F22" s="30"/>
      <c r="G22" s="30"/>
    </row>
    <row r="23" spans="1:7" x14ac:dyDescent="0.2">
      <c r="A23" s="242"/>
      <c r="B23" s="30"/>
      <c r="C23" s="30"/>
      <c r="D23" s="30"/>
      <c r="E23" s="30"/>
      <c r="F23" s="30"/>
      <c r="G23" s="30"/>
    </row>
    <row r="24" spans="1:7" x14ac:dyDescent="0.2">
      <c r="A24" s="30"/>
      <c r="B24" s="30"/>
      <c r="C24" s="30"/>
      <c r="D24" s="30"/>
      <c r="E24" s="30"/>
      <c r="F24" s="30"/>
      <c r="G24" s="30"/>
    </row>
    <row r="25" spans="1:7" x14ac:dyDescent="0.2">
      <c r="A25" s="30"/>
      <c r="B25" s="30"/>
      <c r="C25" s="30"/>
      <c r="D25" s="30"/>
      <c r="E25" s="30"/>
      <c r="F25" s="30"/>
      <c r="G25" s="30"/>
    </row>
    <row r="26" spans="1:7" x14ac:dyDescent="0.2">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20"/>
  <sheetViews>
    <sheetView workbookViewId="0"/>
  </sheetViews>
  <sheetFormatPr baseColWidth="10" defaultRowHeight="15" x14ac:dyDescent="0.2"/>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x14ac:dyDescent="0.2">
      <c r="A1" s="237" t="s">
        <v>60</v>
      </c>
      <c r="B1" s="76" t="s">
        <v>18</v>
      </c>
    </row>
    <row r="2" spans="1:2" x14ac:dyDescent="0.2">
      <c r="A2" s="238"/>
    </row>
    <row r="3" spans="1:2" x14ac:dyDescent="0.2">
      <c r="A3" s="238"/>
    </row>
    <row r="4" spans="1:2" x14ac:dyDescent="0.2">
      <c r="A4" s="238"/>
    </row>
    <row r="5" spans="1:2" x14ac:dyDescent="0.2">
      <c r="A5" s="238"/>
    </row>
    <row r="6" spans="1:2" x14ac:dyDescent="0.2">
      <c r="A6" s="238"/>
    </row>
    <row r="7" spans="1:2" x14ac:dyDescent="0.2">
      <c r="A7" s="238"/>
    </row>
    <row r="8" spans="1:2" x14ac:dyDescent="0.2">
      <c r="A8" s="238"/>
    </row>
    <row r="9" spans="1:2" x14ac:dyDescent="0.2">
      <c r="A9" s="238"/>
    </row>
    <row r="10" spans="1:2" x14ac:dyDescent="0.2">
      <c r="A10" s="238"/>
    </row>
    <row r="11" spans="1:2" x14ac:dyDescent="0.2">
      <c r="A11" s="238"/>
    </row>
    <row r="12" spans="1:2" x14ac:dyDescent="0.2">
      <c r="A12" s="238"/>
    </row>
    <row r="13" spans="1:2" x14ac:dyDescent="0.2">
      <c r="A13" s="238"/>
    </row>
    <row r="14" spans="1:2" x14ac:dyDescent="0.2">
      <c r="A14" s="238"/>
    </row>
    <row r="15" spans="1:2" x14ac:dyDescent="0.2">
      <c r="A15" s="238"/>
    </row>
    <row r="16" spans="1:2" x14ac:dyDescent="0.2">
      <c r="A16" s="238"/>
    </row>
    <row r="17" spans="1:1" x14ac:dyDescent="0.2">
      <c r="A17" s="238"/>
    </row>
    <row r="18" spans="1:1" x14ac:dyDescent="0.2">
      <c r="A18" s="238"/>
    </row>
    <row r="19" spans="1:1" x14ac:dyDescent="0.2">
      <c r="A19" s="238"/>
    </row>
    <row r="20" spans="1:1" x14ac:dyDescent="0.2">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M35"/>
  <sheetViews>
    <sheetView zoomScale="75" workbookViewId="0">
      <selection activeCell="C4" sqref="C4"/>
    </sheetView>
  </sheetViews>
  <sheetFormatPr baseColWidth="10" defaultColWidth="8.6640625" defaultRowHeight="12.75" x14ac:dyDescent="0.2"/>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x14ac:dyDescent="0.25">
      <c r="A1" s="133">
        <f>180/PI()</f>
        <v>57.295779513082323</v>
      </c>
      <c r="B1" s="133">
        <f>PI()/180</f>
        <v>1.7453292519943295E-2</v>
      </c>
      <c r="C1" s="370" t="str">
        <f>IF(DATA!$C$7,"Error of Approximation with Fixed SunriseMarker","Fehler (in Grad) bei Approximation durch fixen Auf/Untergangspunkt ")</f>
        <v>Error of Approximation with Fixed SunriseMarker</v>
      </c>
      <c r="D1" s="370"/>
      <c r="E1" s="370"/>
      <c r="F1" s="370"/>
      <c r="G1" s="370"/>
      <c r="H1" s="370"/>
      <c r="I1" s="370"/>
      <c r="J1" s="370"/>
      <c r="K1" s="370"/>
    </row>
    <row r="2" spans="1:13" ht="16.149999999999999" customHeight="1" thickBot="1" x14ac:dyDescent="0.25">
      <c r="A2" s="375" t="str">
        <f>IF(DATA!$C$7,"Values for Error Calculation","Werte für Fehlerrechnung")</f>
        <v>Values for Error Calculation</v>
      </c>
      <c r="B2" s="376"/>
      <c r="C2" s="217"/>
      <c r="D2" s="217"/>
      <c r="E2" s="217"/>
      <c r="F2" s="217"/>
      <c r="G2" s="217"/>
      <c r="H2" s="217"/>
      <c r="I2" s="217"/>
      <c r="J2" s="217"/>
    </row>
    <row r="3" spans="1:13" ht="17.45" customHeight="1" thickBot="1" x14ac:dyDescent="0.25">
      <c r="A3" s="161" t="str">
        <f>DATA!$B$18</f>
        <v>Gnomon Inclination =</v>
      </c>
      <c r="B3" s="155">
        <v>90</v>
      </c>
      <c r="C3" s="134">
        <f>B3*$B$1</f>
        <v>1.5707963267948966</v>
      </c>
      <c r="E3" s="133"/>
    </row>
    <row r="4" spans="1:13" ht="19.149999999999999" customHeight="1" thickBot="1" x14ac:dyDescent="0.3">
      <c r="A4" s="160" t="str">
        <f>DATA!$B$9</f>
        <v>Latitude =</v>
      </c>
      <c r="B4" s="153">
        <v>48</v>
      </c>
      <c r="C4" s="134">
        <f>B4*$B$1</f>
        <v>0.83775804095727824</v>
      </c>
      <c r="E4" s="133"/>
    </row>
    <row r="5" spans="1:13" ht="18" customHeight="1" thickBot="1" x14ac:dyDescent="0.3">
      <c r="A5" s="161" t="str">
        <f>DATA!$B$15</f>
        <v>E/W-SemiAxis =</v>
      </c>
      <c r="B5" s="154">
        <v>2</v>
      </c>
      <c r="C5" s="134">
        <f>B5*$B$1</f>
        <v>3.4906585039886591E-2</v>
      </c>
      <c r="E5" s="133"/>
    </row>
    <row r="6" spans="1:13" ht="28.15" customHeight="1" thickBot="1" x14ac:dyDescent="0.25">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x14ac:dyDescent="0.2">
      <c r="A7" s="379" t="str">
        <f>DATA!$B$19</f>
        <v>Dial Plane - Inclination =</v>
      </c>
      <c r="B7" s="371">
        <v>0</v>
      </c>
      <c r="C7" s="149">
        <f>B7*$B$1</f>
        <v>0</v>
      </c>
      <c r="D7" s="137"/>
      <c r="E7" s="138"/>
      <c r="F7" s="139"/>
      <c r="G7" s="139"/>
      <c r="H7" s="139"/>
      <c r="L7" s="269"/>
      <c r="M7" s="137"/>
    </row>
    <row r="8" spans="1:13" ht="13.5" thickBot="1" x14ac:dyDescent="0.25">
      <c r="A8" s="380"/>
      <c r="B8" s="372"/>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x14ac:dyDescent="0.2">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x14ac:dyDescent="0.2">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x14ac:dyDescent="0.2">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x14ac:dyDescent="0.2">
      <c r="A12" s="377"/>
      <c r="B12" s="378"/>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x14ac:dyDescent="0.2">
      <c r="A13" s="377"/>
      <c r="B13" s="378"/>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x14ac:dyDescent="0.25">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x14ac:dyDescent="0.25">
      <c r="A15" s="373" t="str">
        <f>IF(DATA!$C$7,"Values in tabsheet 'DATA'","Werte aus Tabelle 'DATA'")</f>
        <v>Values in tabsheet 'DATA'</v>
      </c>
      <c r="B15" s="374"/>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x14ac:dyDescent="0.25">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x14ac:dyDescent="0.3">
      <c r="A17" s="156" t="str">
        <f>DATA!$B$9</f>
        <v>Latitude =</v>
      </c>
      <c r="B17" s="157">
        <f>DATA!$C$9</f>
        <v>19.120999999999999</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x14ac:dyDescent="0.3">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x14ac:dyDescent="0.25">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x14ac:dyDescent="0.2">
      <c r="A20" s="381" t="str">
        <f>$A$7</f>
        <v>Dial Plane - Inclination =</v>
      </c>
      <c r="B20" s="359">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x14ac:dyDescent="0.25">
      <c r="A21" s="382"/>
      <c r="B21" s="360"/>
      <c r="C21" s="134"/>
      <c r="D21" s="140"/>
      <c r="E21" s="134"/>
      <c r="F21" s="141"/>
      <c r="G21" s="143"/>
      <c r="H21" s="142"/>
    </row>
    <row r="22" spans="1:13" s="144" customFormat="1" x14ac:dyDescent="0.2">
      <c r="C22" s="361"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2"/>
      <c r="E22" s="362"/>
      <c r="F22" s="362"/>
      <c r="G22" s="362"/>
      <c r="H22" s="362"/>
      <c r="I22" s="362"/>
      <c r="J22" s="362"/>
      <c r="K22" s="363"/>
    </row>
    <row r="23" spans="1:13" x14ac:dyDescent="0.2">
      <c r="A23" s="145"/>
      <c r="C23" s="364"/>
      <c r="D23" s="365"/>
      <c r="E23" s="365"/>
      <c r="F23" s="365"/>
      <c r="G23" s="365"/>
      <c r="H23" s="365"/>
      <c r="I23" s="365"/>
      <c r="J23" s="365"/>
      <c r="K23" s="366"/>
    </row>
    <row r="24" spans="1:13" ht="13.5" thickBot="1" x14ac:dyDescent="0.25">
      <c r="A24" s="145"/>
      <c r="C24" s="367"/>
      <c r="D24" s="368"/>
      <c r="E24" s="368"/>
      <c r="F24" s="368"/>
      <c r="G24" s="368"/>
      <c r="H24" s="368"/>
      <c r="I24" s="368"/>
      <c r="J24" s="368"/>
      <c r="K24" s="369"/>
    </row>
    <row r="25" spans="1:13" x14ac:dyDescent="0.2">
      <c r="A25" s="145"/>
    </row>
    <row r="26" spans="1:13" x14ac:dyDescent="0.2">
      <c r="A26" s="145"/>
    </row>
    <row r="27" spans="1:13" ht="15.6" customHeight="1" x14ac:dyDescent="0.2">
      <c r="A27" s="145"/>
      <c r="C27" s="268"/>
      <c r="D27" s="244"/>
      <c r="E27" s="244"/>
      <c r="F27" s="244"/>
      <c r="G27" s="244"/>
      <c r="H27" s="244"/>
      <c r="I27" s="244"/>
      <c r="J27" s="244"/>
      <c r="K27" s="244"/>
    </row>
    <row r="28" spans="1:13" ht="15" customHeight="1" x14ac:dyDescent="0.2">
      <c r="A28" s="190"/>
      <c r="B28" s="244"/>
      <c r="C28" s="244"/>
      <c r="D28" s="244"/>
      <c r="E28" s="244"/>
      <c r="F28" s="244"/>
      <c r="G28" s="244"/>
      <c r="H28" s="244"/>
      <c r="I28" s="244"/>
      <c r="J28" s="244"/>
      <c r="K28" s="244"/>
    </row>
    <row r="29" spans="1:13" ht="15" customHeight="1" x14ac:dyDescent="0.2">
      <c r="A29" s="145"/>
      <c r="B29" s="244"/>
      <c r="C29" s="244"/>
      <c r="D29" s="244"/>
      <c r="E29" s="244"/>
      <c r="F29" s="244"/>
      <c r="G29" s="244"/>
      <c r="H29" s="244"/>
      <c r="I29" s="244"/>
      <c r="J29" s="244"/>
      <c r="K29" s="244"/>
    </row>
    <row r="30" spans="1:13" x14ac:dyDescent="0.2">
      <c r="A30" s="145"/>
      <c r="B30" s="267"/>
      <c r="C30" s="267"/>
      <c r="D30" s="267"/>
      <c r="E30" s="267"/>
      <c r="F30" s="267"/>
      <c r="G30" s="267"/>
      <c r="H30" s="267"/>
      <c r="I30" s="267"/>
      <c r="J30" s="267"/>
      <c r="K30" s="267"/>
    </row>
    <row r="31" spans="1:13" x14ac:dyDescent="0.2">
      <c r="A31" s="145"/>
    </row>
    <row r="32" spans="1:13" x14ac:dyDescent="0.2">
      <c r="A32" s="134" t="s">
        <v>53</v>
      </c>
    </row>
    <row r="33" spans="1:4" x14ac:dyDescent="0.2">
      <c r="A33" s="134" t="s">
        <v>52</v>
      </c>
    </row>
    <row r="34" spans="1:4" x14ac:dyDescent="0.2">
      <c r="A34" s="134" t="s">
        <v>54</v>
      </c>
    </row>
    <row r="35" spans="1:4" x14ac:dyDescent="0.2">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 sqref="A2"/>
    </sheetView>
  </sheetViews>
  <sheetFormatPr baseColWidth="10" defaultRowHeight="15" x14ac:dyDescent="0.2"/>
  <cols>
    <col min="3" max="3" width="9.77734375" customWidth="1"/>
  </cols>
  <sheetData>
    <row r="1" spans="1:3" ht="18.75" x14ac:dyDescent="0.25">
      <c r="A1" s="289" t="s">
        <v>64</v>
      </c>
      <c r="B1" s="289"/>
      <c r="C1" s="289"/>
    </row>
    <row r="2" spans="1:3" ht="18.75" x14ac:dyDescent="0.25">
      <c r="A2" s="391" t="s">
        <v>68</v>
      </c>
      <c r="B2" s="289"/>
      <c r="C2" s="289"/>
    </row>
    <row r="3" spans="1:3" x14ac:dyDescent="0.2">
      <c r="A3" s="387" t="s">
        <v>43</v>
      </c>
      <c r="B3" s="388" t="s">
        <v>3</v>
      </c>
      <c r="C3" s="389" t="s">
        <v>67</v>
      </c>
    </row>
    <row r="4" spans="1:3" x14ac:dyDescent="0.2">
      <c r="A4" s="385">
        <v>37257</v>
      </c>
      <c r="B4" s="7">
        <v>3.0863751906327962E-2</v>
      </c>
      <c r="C4" s="7">
        <v>-0.80178655017256195</v>
      </c>
    </row>
    <row r="5" spans="1:3" x14ac:dyDescent="0.2">
      <c r="A5" s="385">
        <v>37289</v>
      </c>
      <c r="B5" s="7">
        <v>0.11971131020038227</v>
      </c>
      <c r="C5" s="7">
        <v>-0.56975575394743494</v>
      </c>
    </row>
    <row r="6" spans="1:3" x14ac:dyDescent="0.2">
      <c r="A6" s="385">
        <v>37316</v>
      </c>
      <c r="B6" s="7">
        <v>0.10799173005763243</v>
      </c>
      <c r="C6" s="7">
        <v>-0.25022186189013279</v>
      </c>
    </row>
    <row r="7" spans="1:3" x14ac:dyDescent="0.2">
      <c r="A7" s="385">
        <v>37336</v>
      </c>
      <c r="B7" s="7">
        <v>6.3137472645378639E-2</v>
      </c>
      <c r="C7" s="7">
        <v>9.1942427697755714E-3</v>
      </c>
    </row>
    <row r="8" spans="1:3" x14ac:dyDescent="0.2">
      <c r="A8" s="385">
        <v>37347</v>
      </c>
      <c r="B8" s="7">
        <v>3.4270213419667184E-2</v>
      </c>
      <c r="C8" s="7">
        <v>0.15150508696479545</v>
      </c>
    </row>
    <row r="9" spans="1:3" x14ac:dyDescent="0.2">
      <c r="A9" s="385">
        <v>37377</v>
      </c>
      <c r="B9" s="7">
        <v>-2.5317259552383196E-2</v>
      </c>
      <c r="C9" s="7">
        <v>0.51024864759936084</v>
      </c>
    </row>
    <row r="10" spans="1:3" x14ac:dyDescent="0.2">
      <c r="A10" s="385">
        <v>37408</v>
      </c>
      <c r="B10" s="7">
        <v>-1.9260451791052971E-2</v>
      </c>
      <c r="C10" s="7">
        <v>0.76610395845103185</v>
      </c>
    </row>
    <row r="11" spans="1:3" x14ac:dyDescent="0.2">
      <c r="A11" s="385">
        <v>37428</v>
      </c>
      <c r="B11" s="7">
        <v>1.5089362101401018E-2</v>
      </c>
      <c r="C11" s="7">
        <v>0.81925434587458745</v>
      </c>
    </row>
    <row r="12" spans="1:3" x14ac:dyDescent="0.2">
      <c r="A12" s="385">
        <v>37438</v>
      </c>
      <c r="B12" s="7">
        <v>3.3244298463397763E-2</v>
      </c>
      <c r="C12" s="7">
        <v>0.80599085106427326</v>
      </c>
    </row>
    <row r="13" spans="1:3" x14ac:dyDescent="0.2">
      <c r="A13" s="385">
        <v>37469</v>
      </c>
      <c r="B13" s="7">
        <v>5.5257694241718565E-2</v>
      </c>
      <c r="C13" s="7">
        <v>0.61352004271574334</v>
      </c>
    </row>
    <row r="14" spans="1:3" x14ac:dyDescent="0.2">
      <c r="A14" s="385">
        <v>37500</v>
      </c>
      <c r="B14" s="7">
        <v>2.7030736410430694E-4</v>
      </c>
      <c r="C14" s="7">
        <v>0.27361830298174616</v>
      </c>
    </row>
    <row r="15" spans="1:3" x14ac:dyDescent="0.2">
      <c r="A15" s="385">
        <v>37521</v>
      </c>
      <c r="B15" s="7">
        <v>-6.3177541191315051E-2</v>
      </c>
      <c r="C15" s="7">
        <v>9.0177294748923376E-3</v>
      </c>
    </row>
    <row r="16" spans="1:3" x14ac:dyDescent="0.2">
      <c r="A16" s="385">
        <v>37530</v>
      </c>
      <c r="B16" s="7">
        <v>-8.9821292144996248E-2</v>
      </c>
      <c r="C16" s="7">
        <v>-0.10659086200465044</v>
      </c>
    </row>
    <row r="17" spans="1:3" x14ac:dyDescent="0.2">
      <c r="A17" s="385">
        <v>37561</v>
      </c>
      <c r="B17" s="7">
        <v>-0.14316497060970421</v>
      </c>
      <c r="C17" s="7">
        <v>-0.48737032177818446</v>
      </c>
    </row>
    <row r="18" spans="1:3" x14ac:dyDescent="0.2">
      <c r="A18" s="385">
        <v>37591</v>
      </c>
      <c r="B18" s="7">
        <v>-9.6025857875305404E-2</v>
      </c>
      <c r="C18" s="7">
        <v>-0.75646555733424459</v>
      </c>
    </row>
    <row r="19" spans="1:3" x14ac:dyDescent="0.2">
      <c r="A19" s="385">
        <v>37611</v>
      </c>
      <c r="B19" s="7">
        <v>-1.7194251276516373E-2</v>
      </c>
      <c r="C19" s="7">
        <v>-0.81920644175339763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A2" sqref="A2"/>
    </sheetView>
  </sheetViews>
  <sheetFormatPr baseColWidth="10" defaultRowHeight="18.75" x14ac:dyDescent="0.25"/>
  <cols>
    <col min="1" max="1" width="10.77734375" style="289" customWidth="1"/>
    <col min="2" max="16384" width="11.5546875" style="289"/>
  </cols>
  <sheetData>
    <row r="1" spans="1:3" ht="15" customHeight="1" x14ac:dyDescent="0.25">
      <c r="A1" s="390" t="s">
        <v>63</v>
      </c>
    </row>
    <row r="2" spans="1:3" ht="15" customHeight="1" x14ac:dyDescent="0.25">
      <c r="A2" s="391" t="s">
        <v>68</v>
      </c>
    </row>
    <row r="3" spans="1:3" ht="15" customHeight="1" x14ac:dyDescent="0.25">
      <c r="A3" s="86" t="s">
        <v>65</v>
      </c>
      <c r="B3" s="383" t="s">
        <v>66</v>
      </c>
      <c r="C3" s="383" t="s">
        <v>20</v>
      </c>
    </row>
    <row r="4" spans="1:3" ht="15" customHeight="1" x14ac:dyDescent="0.25">
      <c r="A4" s="386">
        <v>5</v>
      </c>
      <c r="B4" s="384">
        <v>-1.8177595370751236</v>
      </c>
      <c r="C4" s="384">
        <v>-0.27322670597515197</v>
      </c>
    </row>
    <row r="5" spans="1:3" ht="15" customHeight="1" x14ac:dyDescent="0.25">
      <c r="A5" s="386">
        <v>6</v>
      </c>
      <c r="B5" s="384">
        <v>-1.9717061079871852</v>
      </c>
      <c r="C5" s="384">
        <v>-0.10980733569367157</v>
      </c>
    </row>
    <row r="6" spans="1:3" ht="15" customHeight="1" x14ac:dyDescent="0.25">
      <c r="A6" s="386">
        <v>7</v>
      </c>
      <c r="B6" s="384">
        <v>-1.9912841660383258</v>
      </c>
      <c r="C6" s="384">
        <v>6.1095223050130203E-2</v>
      </c>
    </row>
    <row r="7" spans="1:3" ht="15" customHeight="1" x14ac:dyDescent="0.25">
      <c r="A7" s="386">
        <v>8</v>
      </c>
      <c r="B7" s="384">
        <v>-1.8751594989266311</v>
      </c>
      <c r="C7" s="384">
        <v>0.22783424330769561</v>
      </c>
    </row>
    <row r="8" spans="1:3" ht="15" customHeight="1" x14ac:dyDescent="0.25">
      <c r="A8" s="386">
        <v>9</v>
      </c>
      <c r="B8" s="384">
        <v>-1.6312458108106771</v>
      </c>
      <c r="C8" s="384">
        <v>0.37904673639773068</v>
      </c>
    </row>
    <row r="9" spans="1:3" ht="15" customHeight="1" x14ac:dyDescent="0.25">
      <c r="A9" s="386">
        <v>10</v>
      </c>
      <c r="B9" s="384">
        <v>-1.2761654164491378</v>
      </c>
      <c r="C9" s="384">
        <v>0.50442782080660975</v>
      </c>
    </row>
    <row r="10" spans="1:3" ht="15" customHeight="1" x14ac:dyDescent="0.25">
      <c r="A10" s="386">
        <v>11</v>
      </c>
      <c r="B10" s="384">
        <v>-0.8341164579196555</v>
      </c>
      <c r="C10" s="384">
        <v>0.59543298283390655</v>
      </c>
    </row>
    <row r="11" spans="1:3" ht="15" customHeight="1" x14ac:dyDescent="0.25">
      <c r="A11" s="386">
        <v>12</v>
      </c>
      <c r="B11" s="384">
        <v>-0.33522384122557031</v>
      </c>
      <c r="C11" s="384">
        <v>0.64586037108060179</v>
      </c>
    </row>
    <row r="12" spans="1:3" ht="15" customHeight="1" x14ac:dyDescent="0.25">
      <c r="A12" s="386">
        <v>13</v>
      </c>
      <c r="B12" s="384">
        <v>0.18651372626444648</v>
      </c>
      <c r="C12" s="384">
        <v>0.65227344237288254</v>
      </c>
    </row>
    <row r="13" spans="1:3" ht="15" customHeight="1" x14ac:dyDescent="0.25">
      <c r="A13" s="386">
        <v>14</v>
      </c>
      <c r="B13" s="384">
        <v>0.69554069153804754</v>
      </c>
      <c r="C13" s="384">
        <v>0.61423515650028138</v>
      </c>
    </row>
    <row r="14" spans="1:3" ht="15" customHeight="1" x14ac:dyDescent="0.25">
      <c r="A14" s="386">
        <v>15</v>
      </c>
      <c r="B14" s="384">
        <v>1.1571677081186704</v>
      </c>
      <c r="C14" s="384">
        <v>0.53433775978377629</v>
      </c>
    </row>
    <row r="15" spans="1:3" ht="15" customHeight="1" x14ac:dyDescent="0.25">
      <c r="A15" s="386">
        <v>16</v>
      </c>
      <c r="B15" s="384">
        <v>1.539935657701061</v>
      </c>
      <c r="C15" s="384">
        <v>0.41802612777290626</v>
      </c>
    </row>
    <row r="16" spans="1:3" ht="15" customHeight="1" x14ac:dyDescent="0.25">
      <c r="A16" s="386">
        <v>17</v>
      </c>
      <c r="B16" s="384">
        <v>1.8177595370751236</v>
      </c>
      <c r="C16" s="384">
        <v>0.27322670597515192</v>
      </c>
    </row>
    <row r="17" spans="1:3" ht="15" customHeight="1" x14ac:dyDescent="0.25">
      <c r="A17" s="386">
        <v>18</v>
      </c>
      <c r="B17" s="384">
        <v>1.9717061079871852</v>
      </c>
      <c r="C17" s="384">
        <v>0.10980733569367165</v>
      </c>
    </row>
    <row r="18" spans="1:3" ht="15" customHeight="1" x14ac:dyDescent="0.25">
      <c r="A18" s="386">
        <v>19</v>
      </c>
      <c r="B18" s="384">
        <v>1.991284166038326</v>
      </c>
      <c r="C18" s="384">
        <v>-6.1095223050130119E-2</v>
      </c>
    </row>
    <row r="19" spans="1:3" ht="15" customHeight="1" x14ac:dyDescent="0.25">
      <c r="A19" s="386">
        <v>20</v>
      </c>
      <c r="B19" s="384">
        <v>1.8751594989266311</v>
      </c>
      <c r="C19" s="384">
        <v>-0.22783424330769556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vt:lpstr>
      <vt:lpstr>hours</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eric vayssie</cp:lastModifiedBy>
  <cp:lastPrinted>2013-08-02T19:27:47Z</cp:lastPrinted>
  <dcterms:created xsi:type="dcterms:W3CDTF">1998-12-24T17:29:06Z</dcterms:created>
  <dcterms:modified xsi:type="dcterms:W3CDTF">2015-06-26T22:16:17Z</dcterms:modified>
</cp:coreProperties>
</file>