
<file path=[Content_Types].xml><?xml version="1.0" encoding="utf-8"?>
<Types xmlns="http://schemas.openxmlformats.org/package/2006/content-types">
  <Override PartName="/xl/activeX/activeX2.bin" ContentType="application/vnd.ms-office.activeX"/>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worksheets/sheet6.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hartsheets/sheet6.xml" ContentType="application/vnd.openxmlformats-officedocument.spreadsheetml.chart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comments3.xml" ContentType="application/vnd.openxmlformats-officedocument.spreadsheetml.comments+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heets/sheet1.xml" ContentType="application/vnd.openxmlformats-officedocument.spreadsheetml.chartsheet+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drawings/drawing9.xml" ContentType="application/vnd.openxmlformats-officedocument.drawingml.chartshapes+xml"/>
  <Override PartName="/xl/charts/chart7.xml" ContentType="application/vnd.openxmlformats-officedocument.drawingml.chart+xml"/>
  <Override PartName="/xl/activeX/activeX1.bin" ContentType="application/vnd.ms-office.activeX"/>
  <Override PartName="/xl/drawings/drawing7.xml" ContentType="application/vnd.openxmlformats-officedocument.drawingml.chartshapes+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bookViews>
    <workbookView xWindow="6105" yWindow="-15" windowWidth="6150" windowHeight="6720" tabRatio="755"/>
  </bookViews>
  <sheets>
    <sheet name="DATA" sheetId="8" r:id="rId1"/>
    <sheet name="Hilfe" sheetId="7" state="hidden" r:id="rId2"/>
    <sheet name="Help" sheetId="6" r:id="rId3"/>
    <sheet name="Layout" sheetId="1" r:id="rId4"/>
    <sheet name="Layout 2" sheetId="5" r:id="rId5"/>
    <sheet name="Epicycle" sheetId="9" r:id="rId6"/>
    <sheet name="Error" sheetId="10" r:id="rId7"/>
    <sheet name="EoT" sheetId="2" r:id="rId8"/>
    <sheet name="DecEoT" sheetId="3" r:id="rId9"/>
    <sheet name="Zodiac" sheetId="4" r:id="rId10"/>
    <sheet name="analemna" sheetId="11" r:id="rId11"/>
    <sheet name="ellipse" sheetId="12" r:id="rId12"/>
  </sheets>
  <definedNames>
    <definedName name="_Regression_Int" localSheetId="0" hidden="1">1</definedName>
    <definedName name="Datumsmatrix">DATA!$S$25:$S$61</definedName>
    <definedName name="Print_Area_MI" localSheetId="0">DATA!$B$1:$I$99</definedName>
    <definedName name="_xlnm.Print_Area" localSheetId="0">DATA!$A$1:$N$101</definedName>
    <definedName name="_xlnm.Print_Area" localSheetId="6">Error!$A$1:$M$29</definedName>
    <definedName name="_xlnm.Print_Area" localSheetId="2">Help!$A$1:$L$20</definedName>
  </definedNames>
  <calcPr calcId="125725"/>
</workbook>
</file>

<file path=xl/calcChain.xml><?xml version="1.0" encoding="utf-8"?>
<calcChain xmlns="http://schemas.openxmlformats.org/spreadsheetml/2006/main">
  <c r="C22" i="10"/>
  <c r="D20"/>
  <c r="B20"/>
  <c r="D19"/>
  <c r="B19"/>
  <c r="A19"/>
  <c r="D18"/>
  <c r="B18"/>
  <c r="A18"/>
  <c r="D17"/>
  <c r="B17"/>
  <c r="A17"/>
  <c r="D16"/>
  <c r="B16"/>
  <c r="A16"/>
  <c r="D15"/>
  <c r="A15"/>
  <c r="D14"/>
  <c r="D13" l="1"/>
  <c r="D12"/>
  <c r="D11"/>
  <c r="D10"/>
  <c r="D9" l="1"/>
  <c r="D8"/>
  <c r="A7"/>
  <c r="A20" s="1"/>
  <c r="L6"/>
  <c r="A6"/>
  <c r="A5"/>
  <c r="A4"/>
  <c r="A3"/>
  <c r="A2"/>
  <c r="C1"/>
  <c r="B1"/>
  <c r="E8" s="1"/>
  <c r="K8" s="1"/>
  <c r="A1"/>
  <c r="D111" i="8"/>
  <c r="B111"/>
  <c r="B110"/>
  <c r="J109"/>
  <c r="B109"/>
  <c r="J108"/>
  <c r="E108"/>
  <c r="B108"/>
  <c r="J107"/>
  <c r="B107"/>
  <c r="J106"/>
  <c r="E106"/>
  <c r="D106"/>
  <c r="B106"/>
  <c r="J105"/>
  <c r="D105"/>
  <c r="B105"/>
  <c r="B104"/>
  <c r="E100"/>
  <c r="D100"/>
  <c r="C100"/>
  <c r="E99"/>
  <c r="D99"/>
  <c r="G99" s="1"/>
  <c r="C99"/>
  <c r="E98"/>
  <c r="D98"/>
  <c r="G98" s="1"/>
  <c r="C98"/>
  <c r="J97"/>
  <c r="E97"/>
  <c r="D97"/>
  <c r="C97" s="1"/>
  <c r="B97"/>
  <c r="J96"/>
  <c r="G96"/>
  <c r="F96"/>
  <c r="D96"/>
  <c r="C96"/>
  <c r="B96"/>
  <c r="F95"/>
  <c r="C95"/>
  <c r="N92"/>
  <c r="M92"/>
  <c r="L92"/>
  <c r="K92"/>
  <c r="J92"/>
  <c r="I92"/>
  <c r="H92"/>
  <c r="G92"/>
  <c r="F92"/>
  <c r="E92"/>
  <c r="D92"/>
  <c r="C92"/>
  <c r="B92" s="1"/>
  <c r="N91"/>
  <c r="M91"/>
  <c r="L91"/>
  <c r="K91"/>
  <c r="J91"/>
  <c r="I91"/>
  <c r="H91"/>
  <c r="G91"/>
  <c r="F91"/>
  <c r="E91"/>
  <c r="D91"/>
  <c r="C91"/>
  <c r="B91" s="1"/>
  <c r="N90"/>
  <c r="M90"/>
  <c r="L90"/>
  <c r="K90"/>
  <c r="J90"/>
  <c r="I90"/>
  <c r="H90"/>
  <c r="G90"/>
  <c r="F90"/>
  <c r="E90"/>
  <c r="D90"/>
  <c r="C90"/>
  <c r="B90" s="1"/>
  <c r="N88"/>
  <c r="M88"/>
  <c r="L88"/>
  <c r="K88"/>
  <c r="J88"/>
  <c r="I88"/>
  <c r="H88"/>
  <c r="G88"/>
  <c r="F88"/>
  <c r="E88"/>
  <c r="D88"/>
  <c r="C88"/>
  <c r="B88"/>
  <c r="N87"/>
  <c r="M87"/>
  <c r="L87"/>
  <c r="K87"/>
  <c r="J87"/>
  <c r="I87"/>
  <c r="H87"/>
  <c r="G87"/>
  <c r="F87"/>
  <c r="E87"/>
  <c r="D87"/>
  <c r="C87"/>
  <c r="B87" s="1"/>
  <c r="N86"/>
  <c r="M86"/>
  <c r="L86"/>
  <c r="K86"/>
  <c r="J86"/>
  <c r="I86"/>
  <c r="H86"/>
  <c r="G86"/>
  <c r="F86"/>
  <c r="E86"/>
  <c r="D86"/>
  <c r="C86"/>
  <c r="B86"/>
  <c r="N84"/>
  <c r="M84"/>
  <c r="L84"/>
  <c r="K84"/>
  <c r="J84"/>
  <c r="I84"/>
  <c r="H84"/>
  <c r="G84"/>
  <c r="F84"/>
  <c r="E84"/>
  <c r="D84"/>
  <c r="C84"/>
  <c r="B84"/>
  <c r="N83"/>
  <c r="M83"/>
  <c r="L83"/>
  <c r="K83"/>
  <c r="J83"/>
  <c r="I83"/>
  <c r="H83"/>
  <c r="G83"/>
  <c r="F83"/>
  <c r="E83"/>
  <c r="D83"/>
  <c r="C83"/>
  <c r="B83"/>
  <c r="N82"/>
  <c r="M82"/>
  <c r="L82"/>
  <c r="K82"/>
  <c r="J82"/>
  <c r="I82"/>
  <c r="H82"/>
  <c r="G82"/>
  <c r="F82"/>
  <c r="E82"/>
  <c r="D82"/>
  <c r="C82"/>
  <c r="B82"/>
  <c r="H80"/>
  <c r="F80"/>
  <c r="B80"/>
  <c r="J79"/>
  <c r="E79"/>
  <c r="D79"/>
  <c r="Q78"/>
  <c r="P78" s="1"/>
  <c r="O78"/>
  <c r="N78"/>
  <c r="M78"/>
  <c r="L78"/>
  <c r="K78" s="1"/>
  <c r="J78"/>
  <c r="I78"/>
  <c r="H78"/>
  <c r="C78"/>
  <c r="A78"/>
  <c r="Q77"/>
  <c r="P77" s="1"/>
  <c r="O77"/>
  <c r="N77"/>
  <c r="M77"/>
  <c r="L77"/>
  <c r="K77" s="1"/>
  <c r="J77"/>
  <c r="I77"/>
  <c r="H77"/>
  <c r="C77"/>
  <c r="A77"/>
  <c r="Q76"/>
  <c r="P76" s="1"/>
  <c r="O76"/>
  <c r="N76"/>
  <c r="M76"/>
  <c r="L76"/>
  <c r="K76" s="1"/>
  <c r="J76"/>
  <c r="I76"/>
  <c r="H76"/>
  <c r="C76"/>
  <c r="A76"/>
  <c r="Q75"/>
  <c r="P75" s="1"/>
  <c r="O75"/>
  <c r="N75"/>
  <c r="M75"/>
  <c r="L75"/>
  <c r="K75" s="1"/>
  <c r="J75"/>
  <c r="I75"/>
  <c r="H75"/>
  <c r="C75"/>
  <c r="A75"/>
  <c r="Q74"/>
  <c r="P74" s="1"/>
  <c r="O74"/>
  <c r="N74"/>
  <c r="M74"/>
  <c r="L74"/>
  <c r="K74" s="1"/>
  <c r="J74"/>
  <c r="I74"/>
  <c r="H74"/>
  <c r="C74"/>
  <c r="A74"/>
  <c r="Q73"/>
  <c r="P73" s="1"/>
  <c r="O73"/>
  <c r="N73"/>
  <c r="M73"/>
  <c r="L73"/>
  <c r="K73" s="1"/>
  <c r="J73"/>
  <c r="I73"/>
  <c r="H73"/>
  <c r="C73"/>
  <c r="A73"/>
  <c r="Q72"/>
  <c r="P72" s="1"/>
  <c r="O72"/>
  <c r="N72"/>
  <c r="M72"/>
  <c r="L72"/>
  <c r="K72" s="1"/>
  <c r="J72"/>
  <c r="I72"/>
  <c r="H72"/>
  <c r="C72"/>
  <c r="A72"/>
  <c r="Q71" s="1"/>
  <c r="P71" s="1"/>
  <c r="O71"/>
  <c r="N71"/>
  <c r="M71"/>
  <c r="L71"/>
  <c r="K71"/>
  <c r="J71"/>
  <c r="H71"/>
  <c r="D71"/>
  <c r="C71"/>
  <c r="A71" s="1"/>
  <c r="Q70" s="1"/>
  <c r="P70" s="1"/>
  <c r="O70"/>
  <c r="N70"/>
  <c r="M70"/>
  <c r="L70"/>
  <c r="K70"/>
  <c r="J70"/>
  <c r="I70"/>
  <c r="H70"/>
  <c r="D70"/>
  <c r="C70"/>
  <c r="A70" s="1"/>
  <c r="Q69" s="1"/>
  <c r="P69" s="1"/>
  <c r="O69"/>
  <c r="N69"/>
  <c r="M69"/>
  <c r="L69"/>
  <c r="K69"/>
  <c r="J69"/>
  <c r="I69"/>
  <c r="H69"/>
  <c r="D69"/>
  <c r="C69"/>
  <c r="A69" s="1"/>
  <c r="Q68" s="1"/>
  <c r="P68" s="1"/>
  <c r="O68"/>
  <c r="N68"/>
  <c r="M68"/>
  <c r="L68"/>
  <c r="K68"/>
  <c r="J68"/>
  <c r="I68"/>
  <c r="H68"/>
  <c r="D68"/>
  <c r="C68"/>
  <c r="A68" s="1"/>
  <c r="Q67" s="1"/>
  <c r="P67" s="1"/>
  <c r="O67"/>
  <c r="N67"/>
  <c r="M67"/>
  <c r="L67"/>
  <c r="K67"/>
  <c r="J67"/>
  <c r="I67"/>
  <c r="H67"/>
  <c r="D67"/>
  <c r="C67"/>
  <c r="A67" s="1"/>
  <c r="Q66" s="1"/>
  <c r="P66" s="1"/>
  <c r="O66"/>
  <c r="N66"/>
  <c r="M66"/>
  <c r="L66"/>
  <c r="K66"/>
  <c r="J66"/>
  <c r="I66"/>
  <c r="H66"/>
  <c r="D66"/>
  <c r="C66"/>
  <c r="A66" s="1"/>
  <c r="Q65" s="1"/>
  <c r="P65" s="1"/>
  <c r="O65"/>
  <c r="N65"/>
  <c r="M65"/>
  <c r="L65"/>
  <c r="K65"/>
  <c r="J65"/>
  <c r="I65"/>
  <c r="H65"/>
  <c r="D65"/>
  <c r="C65"/>
  <c r="A65" s="1"/>
  <c r="Q64" s="1"/>
  <c r="P64" s="1"/>
  <c r="O64"/>
  <c r="N64" s="1"/>
  <c r="M64"/>
  <c r="L64"/>
  <c r="K64"/>
  <c r="J64"/>
  <c r="I64"/>
  <c r="H64"/>
  <c r="D64"/>
  <c r="C64"/>
  <c r="A64"/>
  <c r="Q63"/>
  <c r="P63" s="1"/>
  <c r="O63"/>
  <c r="N63" s="1"/>
  <c r="M63"/>
  <c r="L63"/>
  <c r="K63"/>
  <c r="J63"/>
  <c r="H63"/>
  <c r="F63"/>
  <c r="E63" s="1"/>
  <c r="D63" s="1"/>
  <c r="C63"/>
  <c r="A63"/>
  <c r="H62"/>
  <c r="G62"/>
  <c r="D62"/>
  <c r="C62"/>
  <c r="B62"/>
  <c r="M79" l="1"/>
  <c r="L79"/>
  <c r="K79" s="1"/>
  <c r="D112"/>
  <c r="C7" i="10"/>
  <c r="E19"/>
  <c r="E17"/>
  <c r="E14"/>
  <c r="E15"/>
  <c r="E12"/>
  <c r="E10"/>
  <c r="K10" s="1"/>
  <c r="C3"/>
  <c r="C4"/>
  <c r="C5"/>
  <c r="C6"/>
  <c r="S61" i="8"/>
  <c r="R61" s="1"/>
  <c r="J61"/>
  <c r="I61"/>
  <c r="S60"/>
  <c r="R60"/>
  <c r="D60"/>
  <c r="S59"/>
  <c r="F12" i="10" l="1"/>
  <c r="F14"/>
  <c r="F19"/>
  <c r="O79" i="8"/>
  <c r="N79" s="1"/>
  <c r="F15" i="10"/>
  <c r="F17"/>
  <c r="R59" i="8"/>
  <c r="S58"/>
  <c r="R58" l="1"/>
  <c r="C58" l="1"/>
  <c r="B58"/>
  <c r="A58"/>
  <c r="S57"/>
  <c r="D58" l="1"/>
  <c r="E58" s="1"/>
  <c r="R57"/>
  <c r="C57" l="1"/>
  <c r="B57"/>
  <c r="A57"/>
  <c r="S56"/>
  <c r="D57" l="1"/>
  <c r="E57" s="1"/>
  <c r="R56"/>
  <c r="C56" l="1"/>
  <c r="B56"/>
  <c r="A56"/>
  <c r="S55"/>
  <c r="D56" l="1"/>
  <c r="E56" s="1"/>
  <c r="R55"/>
  <c r="C55" l="1"/>
  <c r="B55"/>
  <c r="A55"/>
  <c r="S54"/>
  <c r="D55" l="1"/>
  <c r="E55" s="1"/>
  <c r="R54"/>
  <c r="C54" l="1"/>
  <c r="B54"/>
  <c r="A54"/>
  <c r="S53"/>
  <c r="R53"/>
  <c r="D54" l="1"/>
  <c r="E54" s="1"/>
  <c r="C53"/>
  <c r="B53"/>
  <c r="A53"/>
  <c r="S52"/>
  <c r="R52"/>
  <c r="D53" l="1"/>
  <c r="E53" s="1"/>
  <c r="C52"/>
  <c r="B52"/>
  <c r="A52"/>
  <c r="S51"/>
  <c r="R51"/>
  <c r="D52" l="1"/>
  <c r="E52" s="1"/>
  <c r="C51"/>
  <c r="B51"/>
  <c r="A51"/>
  <c r="S50"/>
  <c r="R50"/>
  <c r="D51" l="1"/>
  <c r="E51" s="1"/>
  <c r="C50"/>
  <c r="B50"/>
  <c r="A50"/>
  <c r="S49"/>
  <c r="R49"/>
  <c r="D50" l="1"/>
  <c r="E50" s="1"/>
  <c r="C49"/>
  <c r="B49"/>
  <c r="A49"/>
  <c r="S48"/>
  <c r="R48"/>
  <c r="D49" l="1"/>
  <c r="E49" s="1"/>
  <c r="C48"/>
  <c r="B48"/>
  <c r="A48"/>
  <c r="S47"/>
  <c r="R47"/>
  <c r="D48" l="1"/>
  <c r="E48" s="1"/>
  <c r="C47"/>
  <c r="B47"/>
  <c r="A47"/>
  <c r="S46"/>
  <c r="R46"/>
  <c r="D47" l="1"/>
  <c r="E47" s="1"/>
  <c r="C46"/>
  <c r="B46"/>
  <c r="A46"/>
  <c r="S45"/>
  <c r="R45"/>
  <c r="D46" l="1"/>
  <c r="E46" s="1"/>
  <c r="C45" l="1"/>
  <c r="D45" s="1"/>
  <c r="E45" s="1"/>
  <c r="B45"/>
  <c r="A45"/>
  <c r="S44"/>
  <c r="R44"/>
  <c r="C44" l="1"/>
  <c r="B44"/>
  <c r="A44"/>
  <c r="S43"/>
  <c r="R43"/>
  <c r="C43"/>
  <c r="B43"/>
  <c r="A43"/>
  <c r="S42"/>
  <c r="R42"/>
  <c r="D44" l="1"/>
  <c r="E44" s="1"/>
  <c r="C42"/>
  <c r="B42"/>
  <c r="A42"/>
  <c r="S41"/>
  <c r="R41"/>
  <c r="D42" l="1"/>
  <c r="E42" s="1"/>
  <c r="C41"/>
  <c r="B41"/>
  <c r="A41"/>
  <c r="S40"/>
  <c r="R40"/>
  <c r="C40"/>
  <c r="B40"/>
  <c r="A40"/>
  <c r="S39"/>
  <c r="R39"/>
  <c r="D41" l="1"/>
  <c r="E41" s="1"/>
  <c r="C39" l="1"/>
  <c r="B39"/>
  <c r="A39"/>
  <c r="S38"/>
  <c r="R38"/>
  <c r="C38" l="1"/>
  <c r="B38"/>
  <c r="A38"/>
  <c r="S37"/>
  <c r="R37"/>
  <c r="C37" l="1"/>
  <c r="B37"/>
  <c r="A37"/>
  <c r="S36"/>
  <c r="R36"/>
  <c r="C36" l="1"/>
  <c r="B36"/>
  <c r="A36"/>
  <c r="S35"/>
  <c r="R35"/>
  <c r="C35" l="1"/>
  <c r="B35" l="1"/>
  <c r="A35"/>
  <c r="S34"/>
  <c r="R34"/>
  <c r="C34"/>
  <c r="B34"/>
  <c r="A34"/>
  <c r="S33"/>
  <c r="R33"/>
  <c r="C33"/>
  <c r="B33"/>
  <c r="A33"/>
  <c r="S32"/>
  <c r="R32"/>
  <c r="C32"/>
  <c r="B32" s="1"/>
  <c r="A32"/>
  <c r="S31"/>
  <c r="R31"/>
  <c r="C31" l="1"/>
  <c r="B31" s="1"/>
  <c r="A31"/>
  <c r="S30"/>
  <c r="R30"/>
  <c r="C30"/>
  <c r="B30" s="1"/>
  <c r="A30"/>
  <c r="S29"/>
  <c r="R29"/>
  <c r="C29"/>
  <c r="B29" s="1"/>
  <c r="A29"/>
  <c r="S28"/>
  <c r="R28"/>
  <c r="C28"/>
  <c r="B28" s="1"/>
  <c r="A28"/>
  <c r="S27"/>
  <c r="R27"/>
  <c r="S26"/>
  <c r="R26"/>
  <c r="L26"/>
  <c r="K26"/>
  <c r="J26"/>
  <c r="H26"/>
  <c r="G26"/>
  <c r="D26"/>
  <c r="C26"/>
  <c r="A26"/>
  <c r="S25"/>
  <c r="R25" s="1"/>
  <c r="K25"/>
  <c r="U24"/>
  <c r="T24" s="1"/>
  <c r="S24" s="1"/>
  <c r="H24"/>
  <c r="G24"/>
  <c r="E24"/>
  <c r="D24"/>
  <c r="C24"/>
  <c r="B24"/>
  <c r="A24"/>
  <c r="AJ23"/>
  <c r="U23"/>
  <c r="T23"/>
  <c r="C23"/>
  <c r="AJ22"/>
  <c r="F22" s="1"/>
  <c r="D22"/>
  <c r="B22"/>
  <c r="J21"/>
  <c r="I21"/>
  <c r="H21"/>
  <c r="E21"/>
  <c r="B21"/>
  <c r="AK20"/>
  <c r="K20"/>
  <c r="E20"/>
  <c r="B20"/>
  <c r="AM19"/>
  <c r="M19"/>
  <c r="J19"/>
  <c r="I19"/>
  <c r="H19"/>
  <c r="B19"/>
  <c r="AM18"/>
  <c r="AK18"/>
  <c r="M18"/>
  <c r="K18"/>
  <c r="G18"/>
  <c r="F18"/>
  <c r="B18"/>
  <c r="AM17"/>
  <c r="AJ17"/>
  <c r="M17"/>
  <c r="J17"/>
  <c r="E17"/>
  <c r="B17"/>
  <c r="AM16"/>
  <c r="AJ16"/>
  <c r="M16"/>
  <c r="J16"/>
  <c r="E16"/>
  <c r="C16" s="1"/>
  <c r="B16"/>
  <c r="AM15"/>
  <c r="AJ15"/>
  <c r="M15"/>
  <c r="J15"/>
  <c r="G15"/>
  <c r="E15"/>
  <c r="B15"/>
  <c r="AM14"/>
  <c r="AK14"/>
  <c r="M14"/>
  <c r="K14"/>
  <c r="B14"/>
  <c r="AM13"/>
  <c r="AK13"/>
  <c r="M13"/>
  <c r="K13" s="1"/>
  <c r="F13"/>
  <c r="B13"/>
  <c r="AM12"/>
  <c r="M12"/>
  <c r="G12"/>
  <c r="F12"/>
  <c r="E12"/>
  <c r="B12"/>
  <c r="AM11"/>
  <c r="M11"/>
  <c r="E11"/>
  <c r="D11"/>
  <c r="B11"/>
  <c r="AM10"/>
  <c r="M10"/>
  <c r="I10"/>
  <c r="H10"/>
  <c r="G10"/>
  <c r="D10"/>
  <c r="B10"/>
  <c r="AM9"/>
  <c r="AJ9"/>
  <c r="M9"/>
  <c r="J9"/>
  <c r="I9"/>
  <c r="H9"/>
  <c r="G9"/>
  <c r="D9"/>
  <c r="B9"/>
  <c r="AM8"/>
  <c r="M8"/>
  <c r="I8"/>
  <c r="G8"/>
  <c r="B8"/>
  <c r="A8"/>
  <c r="AM7"/>
  <c r="M7"/>
  <c r="D7"/>
  <c r="B7"/>
  <c r="AM6"/>
  <c r="AJ6"/>
  <c r="M6"/>
  <c r="J6"/>
  <c r="AM5"/>
  <c r="AJ5"/>
  <c r="M5"/>
  <c r="J5"/>
  <c r="E5"/>
  <c r="AM4"/>
  <c r="M4"/>
  <c r="B4"/>
  <c r="AM3"/>
  <c r="AJ3"/>
  <c r="M3"/>
  <c r="J3"/>
  <c r="AM2"/>
  <c r="AJ2"/>
  <c r="M2"/>
  <c r="J2"/>
  <c r="AM1"/>
  <c r="AJ1"/>
  <c r="M1"/>
  <c r="J1"/>
  <c r="F10" i="10"/>
  <c r="J10" s="1"/>
  <c r="I10" s="1"/>
  <c r="L10" s="1"/>
  <c r="B9"/>
  <c r="C9" s="1"/>
  <c r="F8"/>
  <c r="J8" s="1"/>
  <c r="I8" s="1"/>
  <c r="L8" s="1"/>
  <c r="J19"/>
  <c r="K19"/>
  <c r="E9"/>
  <c r="F9" s="1"/>
  <c r="J9" s="1"/>
  <c r="K9"/>
  <c r="J12"/>
  <c r="K12"/>
  <c r="E11"/>
  <c r="F11" s="1"/>
  <c r="J11" s="1"/>
  <c r="E16"/>
  <c r="F16" s="1"/>
  <c r="J16" s="1"/>
  <c r="E18"/>
  <c r="F18" s="1"/>
  <c r="J18" s="1"/>
  <c r="E20"/>
  <c r="F20" s="1"/>
  <c r="J20" s="1"/>
  <c r="J14"/>
  <c r="K14"/>
  <c r="E13"/>
  <c r="F13" s="1"/>
  <c r="J13" s="1"/>
  <c r="J15"/>
  <c r="K15"/>
  <c r="J17"/>
  <c r="K17"/>
  <c r="P79" i="8"/>
  <c r="G20" s="1"/>
  <c r="Q79" l="1"/>
  <c r="I9" i="10"/>
  <c r="L9" s="1"/>
  <c r="I17"/>
  <c r="L17" s="1"/>
  <c r="I19"/>
  <c r="L19" s="1"/>
  <c r="I12"/>
  <c r="L12" s="1"/>
  <c r="I14"/>
  <c r="L14" s="1"/>
  <c r="I15"/>
  <c r="L15" s="1"/>
  <c r="K13"/>
  <c r="I13" s="1"/>
  <c r="L13" s="1"/>
  <c r="K20"/>
  <c r="I20" s="1"/>
  <c r="L20" s="1"/>
  <c r="K18"/>
  <c r="I18" s="1"/>
  <c r="L18" s="1"/>
  <c r="K16"/>
  <c r="I16" s="1"/>
  <c r="L16" s="1"/>
  <c r="K11"/>
  <c r="I11" s="1"/>
  <c r="L11" s="1"/>
  <c r="M98" i="8"/>
  <c r="N98" s="1"/>
  <c r="G63"/>
  <c r="G79" s="1"/>
  <c r="F79" s="1"/>
  <c r="D109"/>
  <c r="M97"/>
  <c r="N97" s="1"/>
  <c r="G66"/>
  <c r="F66" s="1"/>
  <c r="E66" s="1"/>
  <c r="G64"/>
  <c r="F64" s="1"/>
  <c r="E64" s="1"/>
  <c r="G75"/>
  <c r="F75" s="1"/>
  <c r="E75" s="1"/>
  <c r="D75" s="1"/>
  <c r="G69"/>
  <c r="F69" s="1"/>
  <c r="E69" s="1"/>
  <c r="G67"/>
  <c r="F67" s="1"/>
  <c r="E67" s="1"/>
  <c r="G72"/>
  <c r="F72" s="1"/>
  <c r="E72" s="1"/>
  <c r="D72" s="1"/>
  <c r="G74"/>
  <c r="F74" s="1"/>
  <c r="E74" s="1"/>
  <c r="D74" s="1"/>
  <c r="G76"/>
  <c r="F76" s="1"/>
  <c r="E76" s="1"/>
  <c r="D76" s="1"/>
  <c r="G78"/>
  <c r="H105"/>
  <c r="G68"/>
  <c r="F68" s="1"/>
  <c r="E68" s="1"/>
  <c r="G70"/>
  <c r="F70" s="1"/>
  <c r="E70" s="1"/>
  <c r="G73"/>
  <c r="F73" s="1"/>
  <c r="E73" s="1"/>
  <c r="D73" s="1"/>
  <c r="G77"/>
  <c r="F77" s="1"/>
  <c r="E77" s="1"/>
  <c r="D77" s="1"/>
  <c r="G65"/>
  <c r="F65" s="1"/>
  <c r="E65" s="1"/>
  <c r="G71"/>
  <c r="F71" s="1"/>
  <c r="E71" s="1"/>
  <c r="AK9"/>
  <c r="K9"/>
  <c r="G16"/>
  <c r="I17"/>
  <c r="AL21"/>
  <c r="K100"/>
  <c r="K99"/>
  <c r="F58"/>
  <c r="H58"/>
  <c r="F57"/>
  <c r="Q57" s="1"/>
  <c r="H57"/>
  <c r="G57" s="1"/>
  <c r="F56"/>
  <c r="H56"/>
  <c r="F54"/>
  <c r="H54" s="1"/>
  <c r="F52"/>
  <c r="H52" s="1"/>
  <c r="F50"/>
  <c r="Q50" s="1"/>
  <c r="F49"/>
  <c r="F48"/>
  <c r="H49"/>
  <c r="H48"/>
  <c r="F46"/>
  <c r="Q46" s="1"/>
  <c r="F45"/>
  <c r="H45" s="1"/>
  <c r="F42"/>
  <c r="Q42" s="1"/>
  <c r="F41"/>
  <c r="H41" s="1"/>
  <c r="AJ18"/>
  <c r="L21"/>
  <c r="K21"/>
  <c r="J18"/>
  <c r="AK19"/>
  <c r="J20"/>
  <c r="N25"/>
  <c r="G17"/>
  <c r="K19"/>
  <c r="H20"/>
  <c r="AK21"/>
  <c r="I20"/>
  <c r="H46" l="1"/>
  <c r="G46" s="1"/>
  <c r="H42"/>
  <c r="G42" s="1"/>
  <c r="G41"/>
  <c r="Q41"/>
  <c r="G45"/>
  <c r="Q45"/>
  <c r="G48"/>
  <c r="Q48"/>
  <c r="G52"/>
  <c r="Q52"/>
  <c r="G56"/>
  <c r="Q56"/>
  <c r="G58"/>
  <c r="Q58"/>
  <c r="F78"/>
  <c r="E78" s="1"/>
  <c r="D78" s="1"/>
  <c r="K109"/>
  <c r="K107"/>
  <c r="K106"/>
  <c r="K105"/>
  <c r="H99"/>
  <c r="F99"/>
  <c r="K108"/>
  <c r="F100"/>
  <c r="F98"/>
  <c r="F97"/>
  <c r="H100"/>
  <c r="G100" s="1"/>
  <c r="H98"/>
  <c r="H97"/>
  <c r="G97" s="1"/>
  <c r="H50"/>
  <c r="G50" s="1"/>
  <c r="D108"/>
  <c r="G21" s="1"/>
  <c r="N101"/>
  <c r="N100" s="1"/>
  <c r="G49"/>
  <c r="Q49"/>
  <c r="G54"/>
  <c r="Q54"/>
  <c r="H109"/>
  <c r="H107"/>
  <c r="D107" s="1"/>
  <c r="AJ14"/>
  <c r="J14"/>
  <c r="L17"/>
  <c r="AL17"/>
  <c r="O42"/>
  <c r="O44"/>
  <c r="O45"/>
  <c r="O47"/>
  <c r="O48"/>
  <c r="O51"/>
  <c r="O52"/>
  <c r="O53"/>
  <c r="O55"/>
  <c r="O57"/>
  <c r="O58"/>
  <c r="O41"/>
  <c r="O46"/>
  <c r="O49"/>
  <c r="O50"/>
  <c r="O54"/>
  <c r="O56"/>
  <c r="K12"/>
  <c r="AJ12"/>
  <c r="J12"/>
  <c r="AK12"/>
  <c r="D43" l="1"/>
  <c r="G106"/>
  <c r="G108"/>
  <c r="J41"/>
  <c r="J43"/>
  <c r="J45"/>
  <c r="J47"/>
  <c r="J49"/>
  <c r="J51"/>
  <c r="J53"/>
  <c r="J55"/>
  <c r="J57"/>
  <c r="J42"/>
  <c r="J44"/>
  <c r="J46"/>
  <c r="J48"/>
  <c r="J50"/>
  <c r="J52"/>
  <c r="J54"/>
  <c r="J56"/>
  <c r="J58"/>
  <c r="F43" l="1"/>
  <c r="E43"/>
  <c r="O43"/>
  <c r="K58"/>
  <c r="P58"/>
  <c r="L58" s="1"/>
  <c r="K54"/>
  <c r="P54"/>
  <c r="L54" s="1"/>
  <c r="K50"/>
  <c r="P50"/>
  <c r="L50" s="1"/>
  <c r="K46"/>
  <c r="P46"/>
  <c r="L46" s="1"/>
  <c r="K42"/>
  <c r="P42"/>
  <c r="L42" s="1"/>
  <c r="K55"/>
  <c r="P55"/>
  <c r="L55" s="1"/>
  <c r="K51"/>
  <c r="P51"/>
  <c r="L51" s="1"/>
  <c r="K47"/>
  <c r="P47"/>
  <c r="L47" s="1"/>
  <c r="K43"/>
  <c r="P43"/>
  <c r="L43" s="1"/>
  <c r="K56"/>
  <c r="P56"/>
  <c r="L56" s="1"/>
  <c r="K52"/>
  <c r="P52"/>
  <c r="L52" s="1"/>
  <c r="K48"/>
  <c r="P48"/>
  <c r="L48" s="1"/>
  <c r="K44"/>
  <c r="P44"/>
  <c r="L44" s="1"/>
  <c r="K57"/>
  <c r="P57"/>
  <c r="L57" s="1"/>
  <c r="K53"/>
  <c r="P53"/>
  <c r="L53" s="1"/>
  <c r="K49"/>
  <c r="P49"/>
  <c r="L49" s="1"/>
  <c r="K45"/>
  <c r="P45"/>
  <c r="L45" s="1"/>
  <c r="K41"/>
  <c r="P41"/>
  <c r="L41" s="1"/>
  <c r="G43" l="1"/>
  <c r="Q43"/>
  <c r="H43"/>
  <c r="F44"/>
  <c r="Q44" s="1"/>
  <c r="F47"/>
  <c r="H47" s="1"/>
  <c r="F51"/>
  <c r="H51" s="1"/>
  <c r="F53"/>
  <c r="Q53" s="1"/>
  <c r="F55"/>
  <c r="H55" s="1"/>
  <c r="Q55" l="1"/>
  <c r="Q51"/>
  <c r="Q47"/>
  <c r="G55"/>
  <c r="G53"/>
  <c r="H53"/>
  <c r="G51"/>
  <c r="G47"/>
  <c r="G44"/>
  <c r="H44"/>
  <c r="D35"/>
  <c r="J35"/>
  <c r="K35" s="1"/>
  <c r="O35"/>
  <c r="P35"/>
  <c r="L35" s="1"/>
  <c r="D30"/>
  <c r="J30"/>
  <c r="K30" s="1"/>
  <c r="D37"/>
  <c r="J37"/>
  <c r="K37" s="1"/>
  <c r="O37"/>
  <c r="D39"/>
  <c r="J39" s="1"/>
  <c r="D40"/>
  <c r="J40"/>
  <c r="K40" s="1"/>
  <c r="D31"/>
  <c r="J31"/>
  <c r="K31" s="1"/>
  <c r="O31"/>
  <c r="D29"/>
  <c r="J29" s="1"/>
  <c r="D28"/>
  <c r="J28" s="1"/>
  <c r="D32"/>
  <c r="J32" s="1"/>
  <c r="D34"/>
  <c r="J34" s="1"/>
  <c r="D36"/>
  <c r="J36"/>
  <c r="K36" s="1"/>
  <c r="O36"/>
  <c r="D38"/>
  <c r="J38" s="1"/>
  <c r="D33"/>
  <c r="J33" s="1"/>
  <c r="F39"/>
  <c r="E36"/>
  <c r="H36" s="1"/>
  <c r="F36"/>
  <c r="E38"/>
  <c r="F40"/>
  <c r="Q40" s="1"/>
  <c r="E40"/>
  <c r="G40"/>
  <c r="E32"/>
  <c r="E30"/>
  <c r="Q30" s="1"/>
  <c r="F30"/>
  <c r="E31"/>
  <c r="H31" s="1"/>
  <c r="F31"/>
  <c r="E35"/>
  <c r="G35" s="1"/>
  <c r="F35"/>
  <c r="E28"/>
  <c r="F34"/>
  <c r="G31"/>
  <c r="P30"/>
  <c r="O30"/>
  <c r="E33"/>
  <c r="E37"/>
  <c r="G37" s="1"/>
  <c r="F37"/>
  <c r="H40"/>
  <c r="O28"/>
  <c r="E29"/>
  <c r="F29"/>
  <c r="H29" s="1"/>
  <c r="G29"/>
  <c r="O29"/>
  <c r="P40"/>
  <c r="O40"/>
  <c r="L40" s="1"/>
  <c r="L30" l="1"/>
  <c r="P33"/>
  <c r="K33"/>
  <c r="K32"/>
  <c r="P32"/>
  <c r="K38"/>
  <c r="P38"/>
  <c r="K34"/>
  <c r="P34"/>
  <c r="K28"/>
  <c r="P28"/>
  <c r="H38"/>
  <c r="P29"/>
  <c r="L29" s="1"/>
  <c r="K29"/>
  <c r="K39"/>
  <c r="P39"/>
  <c r="L28"/>
  <c r="H30"/>
  <c r="Q35"/>
  <c r="Q29"/>
  <c r="H37"/>
  <c r="F33"/>
  <c r="G30"/>
  <c r="E34"/>
  <c r="Q34" s="1"/>
  <c r="F28"/>
  <c r="H35"/>
  <c r="Q31"/>
  <c r="F32"/>
  <c r="H32" s="1"/>
  <c r="F38"/>
  <c r="Q36"/>
  <c r="E39"/>
  <c r="O33"/>
  <c r="O38"/>
  <c r="P36"/>
  <c r="L36" s="1"/>
  <c r="N36" s="1"/>
  <c r="O34"/>
  <c r="O32"/>
  <c r="P31"/>
  <c r="L31" s="1"/>
  <c r="O39"/>
  <c r="P37"/>
  <c r="L37" s="1"/>
  <c r="M31"/>
  <c r="M30" s="1"/>
  <c r="M29" s="1"/>
  <c r="N31"/>
  <c r="N30" s="1"/>
  <c r="N29" s="1"/>
  <c r="N28" s="1"/>
  <c r="M37"/>
  <c r="N37"/>
  <c r="M28"/>
  <c r="N35"/>
  <c r="M35"/>
  <c r="Q37"/>
  <c r="G36"/>
  <c r="G39" l="1"/>
  <c r="Q39"/>
  <c r="G38"/>
  <c r="Q38"/>
  <c r="Q28"/>
  <c r="G28"/>
  <c r="M36"/>
  <c r="H39"/>
  <c r="L39"/>
  <c r="H28"/>
  <c r="L33"/>
  <c r="G32"/>
  <c r="Q32"/>
  <c r="G34"/>
  <c r="H34"/>
  <c r="H33"/>
  <c r="G33"/>
  <c r="Q33"/>
  <c r="L34"/>
  <c r="L38"/>
  <c r="L32"/>
  <c r="N38" l="1"/>
  <c r="M38"/>
  <c r="M32"/>
  <c r="N32"/>
  <c r="M34"/>
  <c r="N34"/>
  <c r="M33"/>
  <c r="N33"/>
  <c r="N39"/>
  <c r="N40" s="1"/>
  <c r="N41" s="1"/>
  <c r="N42" s="1"/>
  <c r="N43" s="1"/>
  <c r="N44" s="1"/>
  <c r="N45" s="1"/>
  <c r="N46" s="1"/>
  <c r="N47" s="1"/>
  <c r="N48" s="1"/>
  <c r="N49" s="1"/>
  <c r="N50" s="1"/>
  <c r="N51" s="1"/>
  <c r="N52" s="1"/>
  <c r="N53" s="1"/>
  <c r="N54" s="1"/>
  <c r="N55" s="1"/>
  <c r="N56" s="1"/>
  <c r="N57" s="1"/>
  <c r="N58" s="1"/>
  <c r="M39"/>
  <c r="M40" s="1"/>
  <c r="M41" s="1"/>
  <c r="M42" s="1"/>
  <c r="M43" s="1"/>
  <c r="M44" s="1"/>
  <c r="M45" s="1"/>
  <c r="M46" s="1"/>
  <c r="M47" s="1"/>
  <c r="M48" s="1"/>
  <c r="M49" s="1"/>
  <c r="M50" s="1"/>
  <c r="M51" s="1"/>
  <c r="M52" s="1"/>
  <c r="M53" s="1"/>
  <c r="M54" s="1"/>
  <c r="M55" s="1"/>
  <c r="M56" s="1"/>
  <c r="M57" s="1"/>
  <c r="M58" s="1"/>
</calcChain>
</file>

<file path=xl/comments1.xml><?xml version="1.0" encoding="utf-8"?>
<comments xmlns="http://schemas.openxmlformats.org/spreadsheetml/2006/main">
  <authors>
    <author>Son</author>
  </authors>
  <commentList>
    <comment ref="C8" authorId="0">
      <text>
        <r>
          <rPr>
            <sz val="11"/>
            <color indexed="81"/>
            <rFont val="Arial"/>
            <family val="2"/>
          </rPr>
          <t xml:space="preserve">Der Zonenmeridian ist fast immer durch 15 teilbar und weniger als 15 Längengrade vom lokalen Meridian entfernt!
</t>
        </r>
      </text>
    </comment>
    <comment ref="C9" authorId="0">
      <text>
        <r>
          <rPr>
            <sz val="11"/>
            <color indexed="81"/>
            <rFont val="Arial"/>
            <family val="2"/>
          </rPr>
          <t xml:space="preserve">Die Berechnungen erfolgen nur für nördliche Breitengrade, also nur für positive geographische Breiten.
</t>
        </r>
        <r>
          <rPr>
            <sz val="11"/>
            <color indexed="25"/>
            <rFont val="Arial"/>
            <family val="2"/>
          </rPr>
          <t>All calculations for Northern latitudes !</t>
        </r>
      </text>
    </comment>
    <comment ref="C10" authorId="0">
      <text>
        <r>
          <rPr>
            <sz val="11"/>
            <color indexed="81"/>
            <rFont val="Arial"/>
            <family val="2"/>
          </rPr>
          <t xml:space="preserve">Östliche Längen sind negativ, westliche positiv!
</t>
        </r>
        <r>
          <rPr>
            <sz val="11"/>
            <color indexed="25"/>
            <rFont val="Arial"/>
            <family val="2"/>
          </rPr>
          <t>Eastern longitudes are negative, Western  positive!</t>
        </r>
      </text>
    </comment>
    <comment ref="D12" authorId="0">
      <text>
        <r>
          <rPr>
            <sz val="12"/>
            <color indexed="81"/>
            <rFont val="Arial"/>
            <family val="2"/>
          </rPr>
          <t xml:space="preserve">Neuberechnung mit &lt;Strg&gt; + t  oder Klick auf Tastenfeld "Berechnung"
</t>
        </r>
        <r>
          <rPr>
            <sz val="12"/>
            <color indexed="36"/>
            <rFont val="Arial"/>
            <family val="2"/>
          </rPr>
          <t xml:space="preserve">After input of year please start macro with &lt;Ctrl&gt; + t or click button "Calculation"  </t>
        </r>
        <r>
          <rPr>
            <sz val="12"/>
            <color indexed="81"/>
            <rFont val="Arial"/>
            <family val="2"/>
          </rPr>
          <t xml:space="preserve">
</t>
        </r>
      </text>
    </comment>
    <comment ref="E13" authorId="0">
      <text>
        <r>
          <rPr>
            <sz val="11"/>
            <color indexed="81"/>
            <rFont val="Arial"/>
            <family val="2"/>
          </rPr>
          <t xml:space="preserve"> Stundenanzeige </t>
        </r>
        <r>
          <rPr>
            <sz val="11"/>
            <color indexed="25"/>
            <rFont val="Arial"/>
            <family val="2"/>
          </rPr>
          <t>(Hour Marks)</t>
        </r>
        <r>
          <rPr>
            <sz val="11"/>
            <color indexed="81"/>
            <rFont val="Arial"/>
            <family val="2"/>
          </rPr>
          <t xml:space="preserve">
 0 = wahre Ortszeit 
    </t>
        </r>
        <r>
          <rPr>
            <sz val="11"/>
            <color indexed="25"/>
            <rFont val="Arial"/>
            <family val="2"/>
          </rPr>
          <t>= true local time</t>
        </r>
        <r>
          <rPr>
            <sz val="11"/>
            <color indexed="81"/>
            <rFont val="Arial"/>
            <family val="2"/>
          </rPr>
          <t xml:space="preserve">
 1 = Zonenzeit (ohne  Zeitgleichung)
   </t>
        </r>
        <r>
          <rPr>
            <sz val="11"/>
            <color indexed="25"/>
            <rFont val="Arial"/>
            <family val="2"/>
          </rPr>
          <t xml:space="preserve">  = time of zone meridian (without EQT)</t>
        </r>
      </text>
    </comment>
    <comment ref="C17" authorId="0">
      <text>
        <r>
          <rPr>
            <sz val="11"/>
            <color indexed="81"/>
            <rFont val="Arial"/>
            <family val="2"/>
          </rPr>
          <t xml:space="preserve">Ein Zeiger dieser Höhe steht auf der y-Achse in Yo.
</t>
        </r>
        <r>
          <rPr>
            <sz val="11"/>
            <color indexed="25"/>
            <rFont val="Arial"/>
            <family val="2"/>
          </rPr>
          <t>Footpoint of the gnomon is in Yo on North-South-axis.</t>
        </r>
      </text>
    </comment>
    <comment ref="G17" authorId="0">
      <text>
        <r>
          <rPr>
            <sz val="11"/>
            <color indexed="81"/>
            <rFont val="Arial"/>
            <family val="2"/>
          </rPr>
          <t xml:space="preserve">Fußpunkt des Zeigers auf der N-S-Achse.
</t>
        </r>
        <r>
          <rPr>
            <sz val="11"/>
            <color indexed="36"/>
            <rFont val="Arial"/>
            <family val="2"/>
          </rPr>
          <t>Basic point on N-S-axis for gnomon .</t>
        </r>
      </text>
    </comment>
    <comment ref="D18" authorId="0">
      <text>
        <r>
          <rPr>
            <sz val="11"/>
            <color indexed="81"/>
            <rFont val="Arial"/>
            <family val="2"/>
          </rPr>
          <t xml:space="preserve">Der Gnomon liegt in der Meridianebene. Seine Neigung (Inklination z) wird von der horizontalen N-Richtung aus gemessen !
</t>
        </r>
        <r>
          <rPr>
            <sz val="11"/>
            <color indexed="36"/>
            <rFont val="Arial"/>
            <family val="2"/>
          </rPr>
          <t xml:space="preserve">The gnomon lies in the meridian plane. The angle of its inclination (= z ) is measured between the horizontal North-direction and the direction of the gnomon.
</t>
        </r>
        <r>
          <rPr>
            <sz val="11"/>
            <color indexed="81"/>
            <rFont val="Arial"/>
            <family val="2"/>
          </rPr>
          <t xml:space="preserve">
z = 90°  ... "normal" analemmatic sundial
z = 90° + phi    ... Parent dial
z = 45° + phi / 2 ...Foster-Lambert dial
z = phi  ... horizontal sundial with fixed gnomon (=pole-style)
    (phi = latitude = geogr. Breite)   </t>
        </r>
      </text>
    </comment>
    <comment ref="D19" authorId="0">
      <text>
        <r>
          <rPr>
            <b/>
            <sz val="11"/>
            <color indexed="81"/>
            <rFont val="Arial"/>
            <family val="2"/>
          </rPr>
          <t xml:space="preserve">Neigung i (=Inklination) der Ebene (für die horizontale Ebene gilt i=0). Es ist dies der Winkel zwischen horizontaler Ebene und Uhrenebene, wobei diese Ebene nach S gerichtet ist (keine  Süd-Abweichung der Ebene).
</t>
        </r>
        <r>
          <rPr>
            <b/>
            <sz val="11"/>
            <color indexed="25"/>
            <rFont val="Arial"/>
            <family val="2"/>
          </rPr>
          <t>Inclination (= i) of dial plane. i = 0 for a horizontal plane. No deviation  from S-direction. Inclination is the angle between horizontal plane and dial plane.</t>
        </r>
      </text>
    </comment>
    <comment ref="D21" authorId="0">
      <text>
        <r>
          <rPr>
            <sz val="11"/>
            <color indexed="81"/>
            <rFont val="Arial"/>
            <family val="2"/>
          </rPr>
          <t xml:space="preserve">Für diese Deklination werden Sonnen-Aufgangspunkt und Sonnen-Untergangspunkt berechnet.
</t>
        </r>
        <r>
          <rPr>
            <sz val="11"/>
            <color indexed="36"/>
            <rFont val="Arial"/>
            <family val="2"/>
          </rPr>
          <t>Declination for Sunrise / Sunset Marker</t>
        </r>
      </text>
    </comment>
  </commentList>
</comments>
</file>

<file path=xl/comments2.xml><?xml version="1.0" encoding="utf-8"?>
<comments xmlns="http://schemas.openxmlformats.org/spreadsheetml/2006/main">
  <authors>
    <author>Son</author>
  </authors>
  <commentList>
    <comment ref="A1" authorId="0">
      <text>
        <r>
          <rPr>
            <b/>
            <sz val="8"/>
            <color indexed="16"/>
            <rFont val="Arial"/>
            <family val="2"/>
          </rPr>
          <t>Information zum Tabellenblatt</t>
        </r>
        <r>
          <rPr>
            <sz val="8"/>
            <color indexed="81"/>
            <rFont val="Arial"/>
            <family val="2"/>
          </rPr>
          <t xml:space="preserve">
    Diese Tabellenkalkulation berechnet und zeichnet analemmatische Sonnenuhren und die  Zeitgleichungskurve. Die Felder für die </t>
        </r>
        <r>
          <rPr>
            <b/>
            <sz val="8"/>
            <color indexed="16"/>
            <rFont val="Arial"/>
            <family val="2"/>
          </rPr>
          <t>Dateineingabe</t>
        </r>
        <r>
          <rPr>
            <sz val="8"/>
            <color indexed="81"/>
            <rFont val="Arial"/>
            <family val="2"/>
          </rPr>
          <t xml:space="preserve"> sind im Tabellenblatt "DATA". Die Eingabefelder dort sind</t>
        </r>
        <r>
          <rPr>
            <sz val="8"/>
            <color indexed="17"/>
            <rFont val="Arial"/>
            <family val="2"/>
          </rPr>
          <t xml:space="preserve"> </t>
        </r>
        <r>
          <rPr>
            <b/>
            <sz val="8"/>
            <color indexed="21"/>
            <rFont val="Arial"/>
            <family val="2"/>
          </rPr>
          <t>blaugrün</t>
        </r>
        <r>
          <rPr>
            <sz val="8"/>
            <color indexed="81"/>
            <rFont val="Arial"/>
            <family val="2"/>
          </rPr>
          <t xml:space="preserve"> hinterlegt. Die weitere Anpassung der Tabellenwerte erfolgt automatisch. Wenn die Tabellenblätter schreibgeschützt sind (Menü "Extras / Schutz "), sind nur Eingaben in den  blaugrün markierten Feldern möglich. Dieser Schreibschutz wird empfohlen, da damit Fehleingaben, welche die Funktionsfähigkeit dieser Tabellenkalkulation beeinträchtigen könnten, vermieden werden.
    Zulässige </t>
        </r>
        <r>
          <rPr>
            <b/>
            <sz val="8"/>
            <color indexed="16"/>
            <rFont val="Arial"/>
            <family val="2"/>
          </rPr>
          <t>Steuerungsbefehle</t>
        </r>
        <r>
          <rPr>
            <sz val="8"/>
            <color indexed="81"/>
            <rFont val="Arial"/>
            <family val="2"/>
          </rPr>
          <t xml:space="preserve"> für Sprachanpassung und Neuberechnung sind:
           &lt;Strg&gt; + e  ... stellt auf Englisch um
           &lt;Strg&gt; + d ... stellt auf Deutsch um
           &lt;Strg&gt; + t .... berechnet Deklination und Zeitgleichung für das Tabellenblatt 'EoT' neu. Das Jahr,        
                                für welches die Zeitgleichung dargestellt werden soll, muss zuvor im Feld E12 
                                eingegeben werden. 
Im Tabellenblatt "DATA" können statt obiger Steuerungsbefehle auch die entsprechenden Tastenfelder angeklickt werden.
    Der Schattenstab der analemmatischen Sonnenuhr darf innerhalb der Meridianebene, der vertikalen Nord-Süd-Ebene, beliebig geneigt sein. Auch eine inklinierende Uhreneben is zugelassen, wobei hier allerdings keine N-S-Abweichung möglich ist. Die Neigung des Schattenstabes und die Neigung der Uhrenebene ist immer von der horizontalen Nord-Richtung ausgehend anzugeben. Die Gnomon-Inklination leigt innerhalb der Grenzen 0^und 180°.  Für inklinierende Uhrebenen sind auch negative Werte innerhalb gewisser Grenzen zugelassen (in einzelnen Fällen von -180° bis + 180°). Da bei inklinierenden Uhren stets die äquvalente Uhr der geogr. Breite (phi - i) = (geogr. Breite - Inklination) berechnet wird, können allerdings bei starken Neigungen Fehler auftreten, da die Sonderfälle, wo (phi-i)&gt; 90° oder &lt;-90° ist, einer  gesonderten Behandlung bedürfen.
    Im </t>
        </r>
        <r>
          <rPr>
            <b/>
            <sz val="8"/>
            <color indexed="16"/>
            <rFont val="Arial"/>
            <family val="2"/>
          </rPr>
          <t>Tabellenblatt "Layout1" und "Layout"</t>
        </r>
        <r>
          <rPr>
            <sz val="8"/>
            <color indexed="81"/>
            <rFont val="Arial"/>
            <family val="2"/>
          </rPr>
          <t xml:space="preserve"> markieren die Punkte "Aufgangspunkt" und "Untergangspunkt" auf der Ost-West-Achse (= x-Achse) Stellen, mit denen man Zeit und Richtung des Sonnenauf- oder -untergangs bestimmen kann. Man muss sich hiezu auf den Datumspunkt auf der y-Achse stellen und von dort in Richtung der obgenannten Punkte visieren. Der entsprechende Zeitpunkt auf der Ellipse ergibt die Zeit des Auf- / Untergangs, und die entgegengesetzte Richtung (also + 180 Grad) ist die Richtung für Sonnenauf- oder -untergang. Der Richtungsfehler liegt dabei in mittleren geographischen Breiten bei maximal 1,5 Grad (s. </t>
        </r>
        <r>
          <rPr>
            <b/>
            <sz val="8"/>
            <color indexed="16"/>
            <rFont val="Arial"/>
            <family val="2"/>
          </rPr>
          <t>Tabellenblatt „Error“</t>
        </r>
        <r>
          <rPr>
            <sz val="8"/>
            <color indexed="81"/>
            <rFont val="Arial"/>
            <family val="2"/>
          </rPr>
          <t xml:space="preserve">). Dies gilt bei horizontaler Ebene auch für geneigte Schattenstäbe. Wenn Schattenstab und Ebene gleichzeitig geneigt sind, ist damit allerdings nur die Azimutbestimmung möglich, nicht die Zeitablesung für Auf-/Untergang!
Es kann gezeigt werden, dass die Genauigkeit der Ablesungen mit Hilfe der „Auf- /Untergangspunke“ unabhängig von der Neigung des Schattenstabes und unabhängig von der Neigung der Uhrenebene ist. Für größere Breiten steigt die Ungenauigkeit allerdings rasch an.
    Roger Bailey schlägt im </t>
        </r>
        <r>
          <rPr>
            <b/>
            <sz val="8"/>
            <color indexed="16"/>
            <rFont val="Arial"/>
            <family val="2"/>
          </rPr>
          <t xml:space="preserve">Tabellenblatt „Epicycle“ </t>
        </r>
        <r>
          <rPr>
            <sz val="8"/>
            <color indexed="81"/>
            <rFont val="Arial"/>
            <family val="2"/>
          </rPr>
          <t xml:space="preserve">eine Methode vor, mit der die Position der „Auf-/Untergangspunke“ dem aktuellen Datum angepasst wird. Auf diese Weise werden die Ablesungen genauer, das Ableseverfahren jedoch wird komplizierter, da immer auch die dem Datum angepassten Auf- / Untergangspunkte bestimmt werden müssen..
   </t>
        </r>
        <r>
          <rPr>
            <b/>
            <sz val="8"/>
            <color indexed="16"/>
            <rFont val="Arial"/>
            <family val="2"/>
          </rPr>
          <t>Achtung!</t>
        </r>
        <r>
          <rPr>
            <sz val="8"/>
            <color indexed="81"/>
            <rFont val="Arial"/>
            <family val="2"/>
          </rPr>
          <t xml:space="preserve">  Die Zellen J1:N19 enthalten wichtige Informationen für die Berechnungen und dürfen nicht verändert werden! (Die Information hat die Schriftfarbe weiss und ist deshalb unsichtbar.) Weil diese Daten für die automatisch durchgeführten Berechnungen wichtig sind, wurden sie nochmals in die Zellen AJ1:AN:19 kopiert.
                     </t>
        </r>
        <r>
          <rPr>
            <i/>
            <sz val="8"/>
            <color indexed="81"/>
            <rFont val="Arial"/>
            <family val="2"/>
          </rPr>
          <t xml:space="preserve"> Ursprüngliche Idee und Programm von Roger Bailey. Ergänzungen und Zusätze von Helmut Sonderegge</t>
        </r>
        <r>
          <rPr>
            <i/>
            <sz val="8"/>
            <color indexed="81"/>
            <rFont val="Tahoma"/>
          </rPr>
          <t>r.</t>
        </r>
        <r>
          <rPr>
            <sz val="8"/>
            <color indexed="81"/>
            <rFont val="Tahoma"/>
          </rPr>
          <t xml:space="preserve">
</t>
        </r>
      </text>
    </comment>
  </commentList>
</comments>
</file>

<file path=xl/comments3.xml><?xml version="1.0" encoding="utf-8"?>
<comments xmlns="http://schemas.openxmlformats.org/spreadsheetml/2006/main">
  <authors>
    <author>Son</author>
  </authors>
  <commentList>
    <comment ref="A1" authorId="0">
      <text>
        <r>
          <rPr>
            <b/>
            <sz val="8"/>
            <color indexed="20"/>
            <rFont val="Arial"/>
            <family val="2"/>
          </rPr>
          <t>Information!</t>
        </r>
        <r>
          <rPr>
            <sz val="8"/>
            <color indexed="81"/>
            <rFont val="Arial"/>
            <family val="2"/>
          </rPr>
          <t xml:space="preserve">
   This spreadsheet calculates analemmatic sundials and the Equation of Time. The </t>
        </r>
        <r>
          <rPr>
            <b/>
            <sz val="8"/>
            <color indexed="20"/>
            <rFont val="Arial"/>
            <family val="2"/>
          </rPr>
          <t xml:space="preserve">Input cells </t>
        </r>
        <r>
          <rPr>
            <sz val="8"/>
            <color indexed="81"/>
            <rFont val="Arial"/>
            <family val="2"/>
          </rPr>
          <t xml:space="preserve">in tabsheet "DATA" show blue green color. The evaluation in the other cells is done automatically. Do not input data to other cells than these colored ones! If the tabsheet is write protected, then input is possible only in these colored cells. To change protection mode select menu "Extras / ..." . 
   The following </t>
        </r>
        <r>
          <rPr>
            <b/>
            <sz val="8"/>
            <color indexed="20"/>
            <rFont val="Arial"/>
            <family val="2"/>
          </rPr>
          <t>shortkeys</t>
        </r>
        <r>
          <rPr>
            <sz val="8"/>
            <color indexed="81"/>
            <rFont val="Arial"/>
            <family val="2"/>
          </rPr>
          <t xml:space="preserve"> start the included macros of this spreadsheet:
    &lt;Ctrl&gt; + e ... changes the used language into Englisch
    &lt;Ctrl&gt; + g ... changes the used language into German
    &lt;Ctrl&gt; + t ... starts the macro for redrawing the Equation of time, displayed in chart "EoT"
Instead of using the control-keys you also can press the buttons displayed in tabsheet "DATA".
   The spreadsheet also caclulates and displays analemmatic </t>
        </r>
        <r>
          <rPr>
            <b/>
            <sz val="8"/>
            <color indexed="20"/>
            <rFont val="Arial"/>
            <family val="2"/>
          </rPr>
          <t>sundials with inclining gnomons and/or inclinig dial planes</t>
        </r>
        <r>
          <rPr>
            <sz val="8"/>
            <color indexed="81"/>
            <rFont val="Arial"/>
            <family val="2"/>
          </rPr>
          <t xml:space="preserve">. But both inclinations have to be within the meridian plane, i.e. no deviation from North-South-direction. Both inclinations are measured from horizontal North-direction. The inclination of the gnomon is within 0° and +180°. For the dial plane also negative values are allowed; positive direction is from North upwards, negative is downwards.
   For calculation of sun declination and Equation of Time the formulas from the book  "Explanatory supplement to the Astonomical Almanac" (by  P. Kenneth Seidelmann) are used. </t>
        </r>
        <r>
          <rPr>
            <sz val="8"/>
            <color indexed="20"/>
            <rFont val="Arial"/>
            <family val="2"/>
          </rPr>
          <t>Chart "EoT"</t>
        </r>
        <r>
          <rPr>
            <sz val="8"/>
            <color indexed="81"/>
            <rFont val="Arial"/>
            <family val="2"/>
          </rPr>
          <t xml:space="preserve"> displays sun declination and EoT for days 1, 11, 21 in all months.
   </t>
        </r>
        <r>
          <rPr>
            <sz val="8"/>
            <color indexed="20"/>
            <rFont val="Arial"/>
            <family val="2"/>
          </rPr>
          <t>In Chart „Layout1“ and „Layout“</t>
        </r>
        <r>
          <rPr>
            <sz val="8"/>
            <color indexed="81"/>
            <rFont val="Arial"/>
            <family val="2"/>
          </rPr>
          <t xml:space="preserve"> two special points 'SunriseMark' and 'SunsetMark' are displayed. If a person stands on any date point along the N-S-axis (= y-axis) and looks across this </t>
        </r>
        <r>
          <rPr>
            <sz val="8"/>
            <color indexed="20"/>
            <rFont val="Arial"/>
            <family val="2"/>
          </rPr>
          <t>„SeasonalMarker“</t>
        </r>
        <r>
          <rPr>
            <sz val="8"/>
            <color indexed="81"/>
            <rFont val="Arial"/>
            <family val="2"/>
          </rPr>
          <t xml:space="preserve">, then the point on the hour ellipse shows the time of sun rise or set. The opposite direction (180° added) is the azimuth of rise or set. The exactness for middle latitudes is within 1,5° (look at Chart "Error"). The error is independent of the gnomon's and the dial's inclination. In not horizontal dials with a not vertical gnomon (inclination&lt;&gt;90°) the SeasonalMarkers only show the azimuth of rise /set, but not its time ! 
   </t>
        </r>
        <r>
          <rPr>
            <sz val="8"/>
            <color indexed="20"/>
            <rFont val="Arial"/>
            <family val="2"/>
          </rPr>
          <t>Chart "Error"</t>
        </r>
        <r>
          <rPr>
            <sz val="8"/>
            <color indexed="81"/>
            <rFont val="Arial"/>
            <family val="2"/>
          </rPr>
          <t xml:space="preserve"> shows the difference between the exact values and the approximation by a fixed SeasonalMarker for any selected date  (or declination). For middle latitudes the error by using fixed SesonalMarkers is always smaller than about 1,5° if declination 20,2° is used for calculating the position of the Marker.
   </t>
        </r>
        <r>
          <rPr>
            <sz val="8"/>
            <color indexed="20"/>
            <rFont val="Arial"/>
            <family val="2"/>
          </rPr>
          <t>Chart "Epicycle"</t>
        </r>
        <r>
          <rPr>
            <sz val="8"/>
            <color indexed="81"/>
            <rFont val="Arial"/>
            <family val="2"/>
          </rPr>
          <t xml:space="preserve"> Roger is showing a method to improve the exactness of SeasonalMarkers for reading azimuth and time of rise / set. There the position of the marker is corrected for the actual date. Then the results are more precise. 
   </t>
        </r>
        <r>
          <rPr>
            <b/>
            <sz val="8"/>
            <color indexed="20"/>
            <rFont val="Arial"/>
            <family val="2"/>
          </rPr>
          <t>Attention!</t>
        </r>
        <r>
          <rPr>
            <sz val="8"/>
            <color indexed="81"/>
            <rFont val="Arial"/>
            <family val="2"/>
          </rPr>
          <t xml:space="preserve"> Cells J1:N19 contain important informations and must not be changed. (The contents are invisible because their text color is white.) Because these cells are important for the evaluations which are done auomatically, all these data are copied in cells AJ1:AN19.
       ( Roger Bailey  had the original idea for this spreadsheet and made its fist version. Helmut Sonderegger added some features. )</t>
        </r>
      </text>
    </comment>
  </commentList>
</comments>
</file>

<file path=xl/comments4.xml><?xml version="1.0" encoding="utf-8"?>
<comments xmlns="http://schemas.openxmlformats.org/spreadsheetml/2006/main">
  <authors>
    <author>Son</author>
  </authors>
  <commentList>
    <comment ref="A3" authorId="0">
      <text>
        <r>
          <rPr>
            <b/>
            <sz val="10"/>
            <color indexed="81"/>
            <rFont val="Arial"/>
            <family val="2"/>
          </rPr>
          <t xml:space="preserve">Winkel zwischen Gnomon und horizontaler Nord-Richtung.
</t>
        </r>
        <r>
          <rPr>
            <b/>
            <sz val="10"/>
            <color indexed="25"/>
            <rFont val="Arial"/>
            <family val="2"/>
          </rPr>
          <t>Angle between gnomon and horizontal North-direction.</t>
        </r>
      </text>
    </comment>
  </commentList>
</comments>
</file>

<file path=xl/sharedStrings.xml><?xml version="1.0" encoding="utf-8"?>
<sst xmlns="http://schemas.openxmlformats.org/spreadsheetml/2006/main" count="120" uniqueCount="90">
  <si>
    <t>eps0</t>
  </si>
  <si>
    <t>sin(dek)*</t>
  </si>
  <si>
    <t>cos(dek)*</t>
  </si>
  <si>
    <t xml:space="preserve">   X</t>
  </si>
  <si>
    <t>Winter</t>
  </si>
  <si>
    <t xml:space="preserve">   Y</t>
  </si>
  <si>
    <t xml:space="preserve"> = pi / 180</t>
  </si>
  <si>
    <t xml:space="preserve"> =2*pi / 365,25</t>
  </si>
  <si>
    <t xml:space="preserve">  Y0 =</t>
  </si>
  <si>
    <t>Input</t>
  </si>
  <si>
    <t>Chart Data: X and Y</t>
  </si>
  <si>
    <t>L</t>
  </si>
  <si>
    <t>G</t>
  </si>
  <si>
    <t>lambda</t>
  </si>
  <si>
    <t>L red</t>
  </si>
  <si>
    <t>G red</t>
  </si>
  <si>
    <t>EoT[deg]</t>
  </si>
  <si>
    <t xml:space="preserve">Cos(Az)=Sin(Dec) / Cos(Lat) </t>
  </si>
  <si>
    <t>E n g l i s h</t>
  </si>
  <si>
    <t xml:space="preserve">  x   ( O/W )</t>
  </si>
  <si>
    <t>y   ( N/S )</t>
  </si>
  <si>
    <t>(Roger Bailey, Helmut Sonderegger)</t>
  </si>
  <si>
    <t>Achse</t>
  </si>
  <si>
    <t>Nord - Süd</t>
  </si>
  <si>
    <t>West - Ost</t>
  </si>
  <si>
    <t>sin(phi-i)</t>
  </si>
  <si>
    <t xml:space="preserve"> =(alpha-i)  in rad</t>
  </si>
  <si>
    <t>Y zeile21</t>
  </si>
  <si>
    <t>cos(phi-i)*sin(dekl zl20)=</t>
  </si>
  <si>
    <t xml:space="preserve"> = sin(phi-i)*cos(dek z20)</t>
  </si>
  <si>
    <t>sin(phi-i)=</t>
  </si>
  <si>
    <t>cos(phi-i) =</t>
  </si>
  <si>
    <t>theta1</t>
  </si>
  <si>
    <t>hilf</t>
  </si>
  <si>
    <t>Azi1</t>
  </si>
  <si>
    <t>December &amp; June</t>
  </si>
  <si>
    <t>May &amp; November</t>
  </si>
  <si>
    <t>April &amp; October</t>
  </si>
  <si>
    <t>Solstice</t>
  </si>
  <si>
    <t>March &amp; Sept</t>
  </si>
  <si>
    <t>February &amp; August</t>
  </si>
  <si>
    <t>January &amp; July</t>
  </si>
  <si>
    <t>Equinox</t>
  </si>
  <si>
    <t>Date</t>
  </si>
  <si>
    <t>Center</t>
  </si>
  <si>
    <t>Correction Epicycle  Diameter</t>
  </si>
  <si>
    <t>Marker</t>
  </si>
  <si>
    <t>Dawn Azimuth</t>
  </si>
  <si>
    <t>Declination</t>
  </si>
  <si>
    <t xml:space="preserve">             Correction Epicycle Calculations</t>
  </si>
  <si>
    <t>AzUp[true]</t>
  </si>
  <si>
    <t>aAz_auf</t>
  </si>
  <si>
    <t>X o ... Distance from "SunriseMark" to  O</t>
  </si>
  <si>
    <t>AzUp(true) is azimuth of sunrise (measured N - E - S - W), AzUp(appr) azimuth of the approximation</t>
  </si>
  <si>
    <t>Yo ...  Footpoint of gnomon on y-axis</t>
  </si>
  <si>
    <t xml:space="preserve"> EQT [min.]</t>
  </si>
  <si>
    <t>(phi-i) in rad</t>
  </si>
  <si>
    <t>tan (error)</t>
  </si>
  <si>
    <t>tan(az)</t>
  </si>
  <si>
    <t>tan(delta)</t>
  </si>
  <si>
    <t xml:space="preserve"> </t>
  </si>
  <si>
    <t xml:space="preserve">ZODIAC - </t>
  </si>
  <si>
    <t>y Mark of D21=</t>
  </si>
  <si>
    <t>Coordinates analemn</t>
  </si>
  <si>
    <t>Time of Zone Meridian</t>
  </si>
  <si>
    <t>Co-ordinates of Hour Points</t>
  </si>
  <si>
    <t>meerut</t>
  </si>
  <si>
    <t>hapur</t>
  </si>
  <si>
    <t>etawah</t>
  </si>
  <si>
    <t>on the ellipse</t>
  </si>
  <si>
    <t>x</t>
  </si>
  <si>
    <t>y</t>
  </si>
  <si>
    <t>time</t>
  </si>
  <si>
    <t>x ( O/W )</t>
  </si>
  <si>
    <t>y( N/S )</t>
  </si>
  <si>
    <t>Focus c =</t>
  </si>
  <si>
    <t>String Length 2a+2c =</t>
  </si>
  <si>
    <t xml:space="preserve">Position Yo = </t>
  </si>
  <si>
    <t>Minimal Height =</t>
  </si>
  <si>
    <t>for the ellipse OA=2.00m and OB=0.90m</t>
  </si>
  <si>
    <t>(OF1)² = OA²-OB² = 4 - 081 =&gt; OF=1.786m</t>
  </si>
  <si>
    <t>String Length 2OA+2OF =7,571 m in Meerut it was 7.50m</t>
  </si>
  <si>
    <t>for the ellipse OA=2.00m and OB=0.95m</t>
  </si>
  <si>
    <t>(OF1)² = OA²-OB² = 4 - 0,905 =&gt; OF=1.76m</t>
  </si>
  <si>
    <t>String Length 2OA+2OF =7,52 m</t>
  </si>
  <si>
    <t>Aligrah</t>
  </si>
  <si>
    <t>E/W-SemiAxis =</t>
  </si>
  <si>
    <t>N/S-SemiAxis =</t>
  </si>
  <si>
    <t>Latitude =</t>
  </si>
  <si>
    <t>Longitude =</t>
  </si>
</sst>
</file>

<file path=xl/styles.xml><?xml version="1.0" encoding="utf-8"?>
<styleSheet xmlns="http://schemas.openxmlformats.org/spreadsheetml/2006/main">
  <numFmts count="14">
    <numFmt numFmtId="164" formatCode="0.000_)"/>
    <numFmt numFmtId="165" formatCode="#.000"/>
    <numFmt numFmtId="166" formatCode="hh:mm\ AM/PM_)"/>
    <numFmt numFmtId="167" formatCode="dd\-mmm_)"/>
    <numFmt numFmtId="168" formatCode="hh:mm:ss_)"/>
    <numFmt numFmtId="169" formatCode="0_)"/>
    <numFmt numFmtId="170" formatCode="0.000"/>
    <numFmt numFmtId="171" formatCode="0.0"/>
    <numFmt numFmtId="172" formatCode="0.00000"/>
    <numFmt numFmtId="173" formatCode="dd/\ mmm\ yy"/>
    <numFmt numFmtId="174" formatCode="dd\-mmm\-yyyy"/>
    <numFmt numFmtId="175" formatCode="#,##0.000"/>
    <numFmt numFmtId="176" formatCode="d/\ mmm/\ yy"/>
    <numFmt numFmtId="177" formatCode="[$-40C]d\-mmm;@"/>
  </numFmts>
  <fonts count="65">
    <font>
      <sz val="12"/>
      <name val="Courier"/>
    </font>
    <font>
      <sz val="10"/>
      <name val="Arial"/>
    </font>
    <font>
      <sz val="1"/>
      <color indexed="8"/>
      <name val="Courier"/>
    </font>
    <font>
      <i/>
      <sz val="1"/>
      <color indexed="8"/>
      <name val="Courier"/>
    </font>
    <font>
      <sz val="12"/>
      <color indexed="22"/>
      <name val="Courier"/>
      <family val="3"/>
    </font>
    <font>
      <sz val="12"/>
      <color indexed="12"/>
      <name val="Courier"/>
      <family val="3"/>
    </font>
    <font>
      <b/>
      <sz val="12"/>
      <name val="Courier"/>
    </font>
    <font>
      <sz val="12"/>
      <name val="Courier"/>
      <family val="3"/>
    </font>
    <font>
      <b/>
      <sz val="10"/>
      <name val="Arial"/>
      <family val="2"/>
    </font>
    <font>
      <b/>
      <sz val="11"/>
      <name val="Arial"/>
      <family val="2"/>
    </font>
    <font>
      <b/>
      <sz val="12"/>
      <name val="Courier"/>
      <family val="3"/>
    </font>
    <font>
      <sz val="10"/>
      <name val="Arial"/>
      <family val="2"/>
    </font>
    <font>
      <sz val="10"/>
      <color indexed="22"/>
      <name val="Arial"/>
      <family val="2"/>
    </font>
    <font>
      <b/>
      <sz val="12"/>
      <name val="Arial"/>
      <family val="2"/>
    </font>
    <font>
      <sz val="10"/>
      <color indexed="23"/>
      <name val="Arial"/>
      <family val="2"/>
    </font>
    <font>
      <b/>
      <sz val="9"/>
      <name val="Arial"/>
      <family val="2"/>
    </font>
    <font>
      <sz val="12"/>
      <color indexed="22"/>
      <name val="Courier"/>
    </font>
    <font>
      <sz val="10"/>
      <color indexed="22"/>
      <name val="Courier"/>
      <family val="3"/>
    </font>
    <font>
      <sz val="11"/>
      <color indexed="81"/>
      <name val="Arial"/>
      <family val="2"/>
    </font>
    <font>
      <sz val="12"/>
      <color indexed="81"/>
      <name val="Arial"/>
      <family val="2"/>
    </font>
    <font>
      <b/>
      <sz val="18"/>
      <color indexed="49"/>
      <name val="Courier New"/>
      <family val="3"/>
    </font>
    <font>
      <b/>
      <sz val="12"/>
      <color indexed="61"/>
      <name val="Arial"/>
      <family val="2"/>
    </font>
    <font>
      <sz val="12"/>
      <color indexed="10"/>
      <name val="Courier"/>
      <family val="3"/>
    </font>
    <font>
      <b/>
      <sz val="15"/>
      <name val="Arial"/>
      <family val="2"/>
    </font>
    <font>
      <sz val="12"/>
      <color indexed="55"/>
      <name val="Courier"/>
      <family val="3"/>
    </font>
    <font>
      <sz val="11"/>
      <color indexed="36"/>
      <name val="Arial"/>
      <family val="2"/>
    </font>
    <font>
      <sz val="12"/>
      <color indexed="36"/>
      <name val="Arial"/>
      <family val="2"/>
    </font>
    <font>
      <sz val="12"/>
      <name val="Arial"/>
      <family val="2"/>
    </font>
    <font>
      <b/>
      <sz val="14"/>
      <color indexed="10"/>
      <name val="Arial"/>
      <family val="2"/>
    </font>
    <font>
      <sz val="10"/>
      <color indexed="9"/>
      <name val="Arial"/>
      <family val="2"/>
    </font>
    <font>
      <b/>
      <sz val="11"/>
      <color indexed="61"/>
      <name val="Arial"/>
      <family val="2"/>
    </font>
    <font>
      <i/>
      <sz val="10"/>
      <name val="Arial"/>
      <family val="2"/>
    </font>
    <font>
      <sz val="10"/>
      <color indexed="61"/>
      <name val="Arial"/>
      <family val="2"/>
    </font>
    <font>
      <b/>
      <sz val="10"/>
      <name val="Arial"/>
    </font>
    <font>
      <sz val="12"/>
      <color indexed="9"/>
      <name val="Courier"/>
      <family val="3"/>
    </font>
    <font>
      <sz val="12"/>
      <color indexed="9"/>
      <name val="Courier"/>
    </font>
    <font>
      <sz val="11"/>
      <color indexed="25"/>
      <name val="Arial"/>
      <family val="2"/>
    </font>
    <font>
      <b/>
      <sz val="10"/>
      <color indexed="81"/>
      <name val="Arial"/>
      <family val="2"/>
    </font>
    <font>
      <b/>
      <sz val="10"/>
      <color indexed="25"/>
      <name val="Arial"/>
      <family val="2"/>
    </font>
    <font>
      <sz val="8"/>
      <color indexed="81"/>
      <name val="Tahoma"/>
    </font>
    <font>
      <b/>
      <sz val="12"/>
      <color indexed="10"/>
      <name val="Courier"/>
      <family val="3"/>
    </font>
    <font>
      <b/>
      <sz val="11"/>
      <color indexed="81"/>
      <name val="Arial"/>
      <family val="2"/>
    </font>
    <font>
      <b/>
      <sz val="11"/>
      <color indexed="25"/>
      <name val="Arial"/>
      <family val="2"/>
    </font>
    <font>
      <b/>
      <sz val="14"/>
      <name val="Arial"/>
      <family val="2"/>
    </font>
    <font>
      <b/>
      <sz val="10"/>
      <color indexed="8"/>
      <name val="Arial"/>
      <family val="2"/>
    </font>
    <font>
      <sz val="12"/>
      <color indexed="23"/>
      <name val="Courier"/>
      <family val="3"/>
    </font>
    <font>
      <b/>
      <sz val="10"/>
      <color indexed="22"/>
      <name val="Arial"/>
      <family val="2"/>
    </font>
    <font>
      <sz val="10"/>
      <color indexed="9"/>
      <name val="Courier"/>
      <family val="3"/>
    </font>
    <font>
      <sz val="12"/>
      <color indexed="9"/>
      <name val="Arial"/>
      <family val="2"/>
    </font>
    <font>
      <sz val="8"/>
      <color indexed="81"/>
      <name val="Arial"/>
      <family val="2"/>
    </font>
    <font>
      <sz val="8"/>
      <color indexed="20"/>
      <name val="Arial"/>
      <family val="2"/>
    </font>
    <font>
      <b/>
      <sz val="8"/>
      <color indexed="20"/>
      <name val="Arial"/>
      <family val="2"/>
    </font>
    <font>
      <b/>
      <sz val="8"/>
      <color indexed="16"/>
      <name val="Arial"/>
      <family val="2"/>
    </font>
    <font>
      <sz val="8"/>
      <color indexed="17"/>
      <name val="Arial"/>
      <family val="2"/>
    </font>
    <font>
      <b/>
      <sz val="8"/>
      <color indexed="21"/>
      <name val="Arial"/>
      <family val="2"/>
    </font>
    <font>
      <i/>
      <sz val="8"/>
      <color indexed="81"/>
      <name val="Arial"/>
      <family val="2"/>
    </font>
    <font>
      <i/>
      <sz val="8"/>
      <color indexed="81"/>
      <name val="Tahoma"/>
    </font>
    <font>
      <sz val="12"/>
      <color indexed="22"/>
      <name val="Arial"/>
      <family val="2"/>
    </font>
    <font>
      <b/>
      <sz val="12"/>
      <color indexed="22"/>
      <name val="Arial"/>
      <family val="2"/>
    </font>
    <font>
      <b/>
      <sz val="11"/>
      <color indexed="22"/>
      <name val="Arial"/>
      <family val="2"/>
    </font>
    <font>
      <sz val="10"/>
      <name val="Courier"/>
    </font>
    <font>
      <sz val="11"/>
      <name val="Courier"/>
      <family val="3"/>
    </font>
    <font>
      <b/>
      <sz val="10"/>
      <name val="Courier"/>
      <family val="3"/>
    </font>
    <font>
      <b/>
      <sz val="10"/>
      <name val="CommercialScript BT"/>
      <family val="4"/>
    </font>
    <font>
      <sz val="15"/>
      <name val="Courier"/>
      <family val="3"/>
    </font>
  </fonts>
  <fills count="9">
    <fill>
      <patternFill patternType="none"/>
    </fill>
    <fill>
      <patternFill patternType="gray125"/>
    </fill>
    <fill>
      <patternFill patternType="solid">
        <fgColor indexed="15"/>
        <bgColor indexed="64"/>
      </patternFill>
    </fill>
    <fill>
      <patternFill patternType="solid">
        <fgColor indexed="26"/>
        <bgColor indexed="64"/>
      </patternFill>
    </fill>
    <fill>
      <patternFill patternType="solid">
        <fgColor indexed="41"/>
        <bgColor indexed="64"/>
      </patternFill>
    </fill>
    <fill>
      <patternFill patternType="solid">
        <fgColor indexed="26"/>
        <bgColor indexed="26"/>
      </patternFill>
    </fill>
    <fill>
      <patternFill patternType="solid">
        <fgColor indexed="42"/>
        <bgColor indexed="64"/>
      </patternFill>
    </fill>
    <fill>
      <patternFill patternType="gray0625"/>
    </fill>
    <fill>
      <patternFill patternType="solid">
        <fgColor indexed="9"/>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22"/>
      </left>
      <right style="thin">
        <color indexed="22"/>
      </right>
      <top style="thin">
        <color indexed="64"/>
      </top>
      <bottom/>
      <diagonal/>
    </border>
    <border>
      <left style="thin">
        <color indexed="22"/>
      </left>
      <right style="thin">
        <color indexed="22"/>
      </right>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indexed="22"/>
      </left>
      <right style="thin">
        <color indexed="22"/>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style="thin">
        <color indexed="22"/>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ck">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22"/>
      </right>
      <top style="medium">
        <color indexed="64"/>
      </top>
      <bottom/>
      <diagonal/>
    </border>
    <border>
      <left style="medium">
        <color indexed="64"/>
      </left>
      <right style="thin">
        <color indexed="22"/>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diagonal/>
    </border>
    <border>
      <left/>
      <right style="medium">
        <color indexed="22"/>
      </right>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style="medium">
        <color indexed="64"/>
      </left>
      <right/>
      <top/>
      <bottom style="thin">
        <color indexed="64"/>
      </bottom>
      <diagonal/>
    </border>
    <border>
      <left style="medium">
        <color indexed="9"/>
      </left>
      <right style="medium">
        <color indexed="64"/>
      </right>
      <top style="medium">
        <color indexed="64"/>
      </top>
      <bottom/>
      <diagonal/>
    </border>
    <border>
      <left style="medium">
        <color indexed="9"/>
      </left>
      <right style="medium">
        <color indexed="9"/>
      </right>
      <top/>
      <bottom style="thin">
        <color indexed="64"/>
      </bottom>
      <diagonal/>
    </border>
    <border>
      <left style="medium">
        <color indexed="9"/>
      </left>
      <right style="medium">
        <color indexed="64"/>
      </right>
      <top/>
      <bottom style="thin">
        <color indexed="64"/>
      </bottom>
      <diagonal/>
    </border>
    <border>
      <left style="medium">
        <color indexed="64"/>
      </left>
      <right style="medium">
        <color indexed="9"/>
      </right>
      <top style="medium">
        <color indexed="64"/>
      </top>
      <bottom/>
      <diagonal/>
    </border>
    <border>
      <left style="medium">
        <color indexed="9"/>
      </left>
      <right style="medium">
        <color indexed="9"/>
      </right>
      <top style="medium">
        <color indexed="64"/>
      </top>
      <bottom/>
      <diagonal/>
    </border>
    <border>
      <left style="medium">
        <color indexed="64"/>
      </left>
      <right style="medium">
        <color indexed="9"/>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thin">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s>
  <cellStyleXfs count="9">
    <xf numFmtId="164" fontId="0" fillId="0" borderId="0"/>
    <xf numFmtId="165" fontId="2" fillId="0" borderId="0">
      <protection locked="0"/>
    </xf>
    <xf numFmtId="165" fontId="2" fillId="0" borderId="0">
      <protection locked="0"/>
    </xf>
    <xf numFmtId="165" fontId="3" fillId="0" borderId="0">
      <protection locked="0"/>
    </xf>
    <xf numFmtId="165" fontId="2" fillId="0" borderId="0">
      <protection locked="0"/>
    </xf>
    <xf numFmtId="165" fontId="2" fillId="0" borderId="0">
      <protection locked="0"/>
    </xf>
    <xf numFmtId="165" fontId="2" fillId="0" borderId="0">
      <protection locked="0"/>
    </xf>
    <xf numFmtId="165" fontId="3" fillId="0" borderId="0">
      <protection locked="0"/>
    </xf>
    <xf numFmtId="0" fontId="1" fillId="0" borderId="0"/>
  </cellStyleXfs>
  <cellXfs count="384">
    <xf numFmtId="164" fontId="0" fillId="0" borderId="0" xfId="0"/>
    <xf numFmtId="164" fontId="0" fillId="0" borderId="0" xfId="0" applyAlignment="1" applyProtection="1">
      <alignment horizontal="left"/>
    </xf>
    <xf numFmtId="166" fontId="0" fillId="0" borderId="0" xfId="0" applyNumberFormat="1" applyProtection="1"/>
    <xf numFmtId="164" fontId="0" fillId="0" borderId="0" xfId="0" applyProtection="1"/>
    <xf numFmtId="169" fontId="0" fillId="0" borderId="0" xfId="0" applyNumberFormat="1" applyProtection="1"/>
    <xf numFmtId="0" fontId="0" fillId="0" borderId="0" xfId="0" applyNumberFormat="1" applyProtection="1"/>
    <xf numFmtId="170" fontId="0" fillId="0" borderId="0" xfId="0" applyNumberFormat="1"/>
    <xf numFmtId="164" fontId="0" fillId="0" borderId="0" xfId="0" applyBorder="1"/>
    <xf numFmtId="164" fontId="4" fillId="0" borderId="0" xfId="0" applyFont="1" applyProtection="1"/>
    <xf numFmtId="164" fontId="4" fillId="0" borderId="0" xfId="0" applyFont="1"/>
    <xf numFmtId="164" fontId="0" fillId="0" borderId="0" xfId="0" applyAlignment="1">
      <alignment horizontal="centerContinuous"/>
    </xf>
    <xf numFmtId="164" fontId="0" fillId="2" borderId="1" xfId="0" applyFill="1" applyBorder="1" applyAlignment="1" applyProtection="1">
      <alignment horizontal="center"/>
      <protection locked="0"/>
    </xf>
    <xf numFmtId="164" fontId="0" fillId="0" borderId="0" xfId="0" applyAlignment="1">
      <alignment horizontal="center"/>
    </xf>
    <xf numFmtId="21" fontId="0" fillId="0" borderId="0" xfId="0" applyNumberFormat="1" applyAlignment="1" applyProtection="1">
      <alignment horizontal="center"/>
    </xf>
    <xf numFmtId="4" fontId="0" fillId="2" borderId="1" xfId="0" applyNumberFormat="1" applyFill="1" applyBorder="1" applyAlignment="1" applyProtection="1">
      <alignment horizontal="center"/>
      <protection locked="0"/>
    </xf>
    <xf numFmtId="168" fontId="0" fillId="0" borderId="0" xfId="0" applyNumberFormat="1" applyAlignment="1" applyProtection="1">
      <alignment horizontal="center"/>
    </xf>
    <xf numFmtId="164" fontId="0" fillId="0" borderId="0" xfId="0" applyAlignment="1">
      <alignment horizontal="left"/>
    </xf>
    <xf numFmtId="164" fontId="0" fillId="0" borderId="0" xfId="0" applyAlignment="1" applyProtection="1">
      <alignment horizontal="center"/>
    </xf>
    <xf numFmtId="21" fontId="0" fillId="0" borderId="0" xfId="0" applyNumberFormat="1" applyProtection="1"/>
    <xf numFmtId="2" fontId="0" fillId="2" borderId="1" xfId="0" applyNumberFormat="1" applyFill="1" applyBorder="1" applyAlignment="1" applyProtection="1">
      <alignment horizontal="center"/>
      <protection locked="0"/>
    </xf>
    <xf numFmtId="164" fontId="7" fillId="0" borderId="0" xfId="0" applyFont="1" applyAlignment="1" applyProtection="1">
      <alignment horizontal="left"/>
    </xf>
    <xf numFmtId="0" fontId="0" fillId="0" borderId="0" xfId="0" applyNumberFormat="1" applyAlignment="1" applyProtection="1">
      <alignment horizontal="right"/>
    </xf>
    <xf numFmtId="1" fontId="0" fillId="2" borderId="1" xfId="0" applyNumberFormat="1" applyFill="1" applyBorder="1" applyAlignment="1" applyProtection="1">
      <alignment horizontal="center"/>
      <protection locked="0"/>
    </xf>
    <xf numFmtId="0" fontId="0" fillId="0" borderId="0" xfId="0" applyNumberFormat="1" applyAlignment="1" applyProtection="1">
      <alignment horizontal="left"/>
    </xf>
    <xf numFmtId="15" fontId="0" fillId="0" borderId="0" xfId="0" applyNumberFormat="1" applyProtection="1"/>
    <xf numFmtId="164" fontId="10" fillId="0" borderId="0" xfId="0" applyFont="1" applyAlignment="1">
      <alignment horizontal="center"/>
    </xf>
    <xf numFmtId="164" fontId="0" fillId="0" borderId="0" xfId="0" applyAlignment="1"/>
    <xf numFmtId="164" fontId="0" fillId="2" borderId="2" xfId="0" applyFill="1" applyBorder="1" applyAlignment="1" applyProtection="1">
      <alignment horizontal="center"/>
    </xf>
    <xf numFmtId="2" fontId="0" fillId="0" borderId="0" xfId="0" applyNumberFormat="1" applyProtection="1">
      <protection locked="0"/>
    </xf>
    <xf numFmtId="171" fontId="0" fillId="0" borderId="0" xfId="0" applyNumberFormat="1" applyProtection="1">
      <protection locked="0"/>
    </xf>
    <xf numFmtId="164" fontId="8" fillId="0" borderId="0" xfId="0" applyFont="1" applyAlignment="1">
      <alignment horizontal="center" vertical="top" wrapText="1"/>
    </xf>
    <xf numFmtId="164" fontId="0" fillId="0" borderId="0" xfId="0" applyBorder="1" applyAlignment="1"/>
    <xf numFmtId="164" fontId="4" fillId="0" borderId="0" xfId="0" applyFont="1" applyAlignment="1" applyProtection="1"/>
    <xf numFmtId="164" fontId="4" fillId="0" borderId="0" xfId="0" applyFont="1" applyAlignment="1"/>
    <xf numFmtId="1" fontId="4" fillId="0" borderId="0" xfId="0" applyNumberFormat="1" applyFont="1" applyProtection="1"/>
    <xf numFmtId="172" fontId="4" fillId="0" borderId="0" xfId="0" applyNumberFormat="1" applyFont="1" applyProtection="1"/>
    <xf numFmtId="172" fontId="4" fillId="0" borderId="3" xfId="0" applyNumberFormat="1" applyFont="1" applyBorder="1" applyProtection="1"/>
    <xf numFmtId="164" fontId="4" fillId="0" borderId="3" xfId="0" applyFont="1" applyBorder="1" applyProtection="1"/>
    <xf numFmtId="164" fontId="4" fillId="0" borderId="3" xfId="0" applyFont="1" applyBorder="1"/>
    <xf numFmtId="1" fontId="4" fillId="0" borderId="0" xfId="0" applyNumberFormat="1" applyFont="1" applyBorder="1" applyProtection="1"/>
    <xf numFmtId="164" fontId="4" fillId="0" borderId="0" xfId="0" applyFont="1" applyBorder="1"/>
    <xf numFmtId="1" fontId="7" fillId="0" borderId="0" xfId="0" applyNumberFormat="1" applyFont="1" applyProtection="1"/>
    <xf numFmtId="2" fontId="7" fillId="0" borderId="0" xfId="0" applyNumberFormat="1" applyFont="1" applyBorder="1" applyProtection="1"/>
    <xf numFmtId="1" fontId="11" fillId="0" borderId="0" xfId="0" applyNumberFormat="1" applyFont="1" applyFill="1" applyBorder="1" applyAlignment="1" applyProtection="1">
      <alignment horizontal="center" vertical="center"/>
      <protection locked="0"/>
    </xf>
    <xf numFmtId="173" fontId="0" fillId="0" borderId="0" xfId="0" applyNumberFormat="1" applyFill="1" applyBorder="1" applyAlignment="1" applyProtection="1">
      <alignment horizontal="left"/>
    </xf>
    <xf numFmtId="164" fontId="0" fillId="0" borderId="4" xfId="0" applyBorder="1"/>
    <xf numFmtId="2" fontId="7" fillId="2" borderId="2" xfId="0" applyNumberFormat="1" applyFont="1" applyFill="1" applyBorder="1" applyProtection="1">
      <protection locked="0"/>
    </xf>
    <xf numFmtId="164" fontId="0" fillId="0" borderId="0" xfId="0" applyAlignment="1">
      <alignment horizontal="left" vertical="center"/>
    </xf>
    <xf numFmtId="164" fontId="0" fillId="3" borderId="2" xfId="0" applyFill="1" applyBorder="1" applyAlignment="1" applyProtection="1">
      <alignment horizontal="left"/>
    </xf>
    <xf numFmtId="2" fontId="0" fillId="3" borderId="2" xfId="0" applyNumberFormat="1" applyFill="1" applyBorder="1" applyAlignment="1" applyProtection="1">
      <alignment horizontal="left"/>
    </xf>
    <xf numFmtId="2" fontId="0" fillId="2" borderId="5" xfId="0" applyNumberFormat="1" applyFill="1" applyBorder="1" applyAlignment="1" applyProtection="1">
      <alignment horizontal="center"/>
      <protection locked="0"/>
    </xf>
    <xf numFmtId="170" fontId="0" fillId="3" borderId="6" xfId="0" applyNumberFormat="1" applyFill="1" applyBorder="1" applyAlignment="1" applyProtection="1">
      <alignment horizontal="left"/>
    </xf>
    <xf numFmtId="164" fontId="0" fillId="3" borderId="2" xfId="0" applyFill="1" applyBorder="1" applyAlignment="1" applyProtection="1">
      <alignment horizontal="center"/>
    </xf>
    <xf numFmtId="164" fontId="0" fillId="3" borderId="7" xfId="0" applyFill="1" applyBorder="1" applyProtection="1"/>
    <xf numFmtId="164" fontId="0" fillId="3" borderId="8" xfId="0" applyFill="1" applyBorder="1" applyAlignment="1" applyProtection="1">
      <alignment horizontal="center"/>
    </xf>
    <xf numFmtId="164" fontId="0" fillId="3" borderId="7" xfId="0" applyFill="1" applyBorder="1" applyAlignment="1" applyProtection="1">
      <alignment horizontal="center"/>
    </xf>
    <xf numFmtId="167" fontId="0" fillId="3" borderId="7" xfId="0" applyNumberFormat="1" applyFill="1" applyBorder="1" applyAlignment="1" applyProtection="1">
      <alignment horizontal="center"/>
    </xf>
    <xf numFmtId="167" fontId="0" fillId="3" borderId="8" xfId="0" applyNumberFormat="1" applyFill="1" applyBorder="1" applyAlignment="1" applyProtection="1">
      <alignment horizontal="center"/>
    </xf>
    <xf numFmtId="164" fontId="0" fillId="0" borderId="3" xfId="0" applyBorder="1" applyAlignment="1">
      <alignment horizontal="center"/>
    </xf>
    <xf numFmtId="164" fontId="0" fillId="0" borderId="9" xfId="0" applyBorder="1" applyAlignment="1">
      <alignment horizontal="center"/>
    </xf>
    <xf numFmtId="164" fontId="0" fillId="0" borderId="10" xfId="0" applyBorder="1"/>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14" xfId="0" applyBorder="1"/>
    <xf numFmtId="164" fontId="0" fillId="0" borderId="15" xfId="0" applyBorder="1"/>
    <xf numFmtId="164" fontId="0" fillId="0" borderId="14" xfId="0" applyBorder="1" applyProtection="1">
      <protection locked="0"/>
    </xf>
    <xf numFmtId="164" fontId="0" fillId="0" borderId="16" xfId="0" applyBorder="1" applyProtection="1">
      <protection locked="0"/>
    </xf>
    <xf numFmtId="164" fontId="0" fillId="0" borderId="17" xfId="0" applyBorder="1"/>
    <xf numFmtId="164" fontId="0" fillId="0" borderId="18" xfId="0" applyBorder="1"/>
    <xf numFmtId="164" fontId="8" fillId="0" borderId="0" xfId="0" applyFont="1" applyAlignment="1">
      <alignment horizontal="left" vertical="top" wrapText="1"/>
    </xf>
    <xf numFmtId="164" fontId="0" fillId="0" borderId="19" xfId="0" applyBorder="1"/>
    <xf numFmtId="164" fontId="16" fillId="0" borderId="0" xfId="0" applyFont="1"/>
    <xf numFmtId="164" fontId="17" fillId="0" borderId="0" xfId="0" applyFont="1" applyFill="1"/>
    <xf numFmtId="164" fontId="16" fillId="0" borderId="0" xfId="0" applyFont="1" applyAlignment="1">
      <alignment wrapText="1"/>
    </xf>
    <xf numFmtId="164" fontId="16" fillId="0" borderId="0" xfId="0" applyFont="1" applyAlignment="1" applyProtection="1">
      <alignment horizontal="left"/>
    </xf>
    <xf numFmtId="164" fontId="13" fillId="0" borderId="0" xfId="0" applyFont="1" applyAlignment="1">
      <alignment horizontal="center" vertical="center" textRotation="180"/>
    </xf>
    <xf numFmtId="21" fontId="5" fillId="0" borderId="0" xfId="0" applyNumberFormat="1" applyFont="1" applyAlignment="1" applyProtection="1">
      <alignment horizontal="center" vertical="center"/>
    </xf>
    <xf numFmtId="164" fontId="5" fillId="0" borderId="0" xfId="0" applyFont="1" applyAlignment="1" applyProtection="1">
      <alignment horizontal="left" vertical="center"/>
    </xf>
    <xf numFmtId="1" fontId="0" fillId="2" borderId="1" xfId="0" applyNumberFormat="1" applyFill="1" applyBorder="1" applyAlignment="1" applyProtection="1">
      <alignment horizontal="center" vertical="center"/>
      <protection locked="0"/>
    </xf>
    <xf numFmtId="164" fontId="21" fillId="0" borderId="0" xfId="0" applyFont="1" applyFill="1" applyBorder="1" applyAlignment="1">
      <alignment horizontal="left" vertical="center"/>
    </xf>
    <xf numFmtId="174" fontId="0" fillId="2" borderId="7" xfId="0" applyNumberFormat="1" applyFill="1" applyBorder="1" applyAlignment="1" applyProtection="1">
      <alignment horizontal="center"/>
      <protection locked="0"/>
    </xf>
    <xf numFmtId="174" fontId="0" fillId="2" borderId="8" xfId="0" applyNumberFormat="1" applyFill="1" applyBorder="1" applyAlignment="1" applyProtection="1">
      <alignment horizontal="center"/>
      <protection locked="0"/>
    </xf>
    <xf numFmtId="164" fontId="0" fillId="0" borderId="0" xfId="0" applyBorder="1" applyAlignment="1" applyProtection="1">
      <alignment horizontal="right"/>
    </xf>
    <xf numFmtId="164" fontId="22" fillId="0" borderId="0" xfId="0" applyFont="1"/>
    <xf numFmtId="2" fontId="0" fillId="4" borderId="1" xfId="0" applyNumberFormat="1" applyFill="1" applyBorder="1" applyAlignment="1" applyProtection="1">
      <alignment horizontal="center"/>
      <protection locked="0"/>
    </xf>
    <xf numFmtId="164" fontId="7" fillId="0" borderId="0" xfId="0" applyFont="1"/>
    <xf numFmtId="164" fontId="7" fillId="0" borderId="0" xfId="0" applyFont="1" applyBorder="1"/>
    <xf numFmtId="173" fontId="7" fillId="0" borderId="0" xfId="0" applyNumberFormat="1" applyFont="1"/>
    <xf numFmtId="164" fontId="0" fillId="0" borderId="3" xfId="0" applyBorder="1"/>
    <xf numFmtId="21" fontId="0" fillId="3" borderId="2" xfId="0" applyNumberFormat="1" applyFill="1" applyBorder="1" applyAlignment="1" applyProtection="1">
      <alignment horizontal="center"/>
    </xf>
    <xf numFmtId="164" fontId="22" fillId="0" borderId="0" xfId="0" applyFont="1" applyBorder="1"/>
    <xf numFmtId="173" fontId="0" fillId="0" borderId="0" xfId="0" applyNumberFormat="1"/>
    <xf numFmtId="175" fontId="0" fillId="0" borderId="0" xfId="0" applyNumberFormat="1"/>
    <xf numFmtId="164" fontId="0" fillId="5" borderId="0" xfId="0" applyFill="1" applyBorder="1"/>
    <xf numFmtId="164" fontId="0" fillId="5" borderId="20" xfId="0" applyFill="1" applyBorder="1"/>
    <xf numFmtId="164" fontId="0" fillId="5" borderId="15" xfId="0" applyFill="1" applyBorder="1"/>
    <xf numFmtId="164" fontId="0" fillId="5" borderId="4" xfId="0" applyFill="1" applyBorder="1"/>
    <xf numFmtId="164" fontId="0" fillId="5" borderId="21" xfId="0" applyFill="1" applyBorder="1"/>
    <xf numFmtId="164" fontId="0" fillId="5" borderId="18" xfId="0" applyFill="1" applyBorder="1"/>
    <xf numFmtId="164" fontId="0" fillId="5" borderId="22" xfId="0" applyFill="1" applyBorder="1"/>
    <xf numFmtId="164" fontId="0" fillId="5" borderId="23" xfId="0" applyFill="1" applyBorder="1"/>
    <xf numFmtId="164" fontId="10" fillId="0" borderId="0" xfId="0" applyFont="1" applyAlignment="1">
      <alignment horizontal="right"/>
    </xf>
    <xf numFmtId="164" fontId="0" fillId="3" borderId="6" xfId="0" applyFill="1" applyBorder="1" applyProtection="1"/>
    <xf numFmtId="164" fontId="0" fillId="3" borderId="8" xfId="0" applyFill="1" applyBorder="1" applyProtection="1"/>
    <xf numFmtId="164" fontId="0" fillId="0" borderId="24" xfId="0" applyBorder="1"/>
    <xf numFmtId="164" fontId="24" fillId="0" borderId="24" xfId="0" applyFont="1" applyBorder="1"/>
    <xf numFmtId="164" fontId="0" fillId="0" borderId="20" xfId="0" applyBorder="1"/>
    <xf numFmtId="164" fontId="0" fillId="0" borderId="9" xfId="0" applyBorder="1"/>
    <xf numFmtId="164" fontId="0" fillId="0" borderId="25" xfId="0" applyBorder="1"/>
    <xf numFmtId="164" fontId="0" fillId="0" borderId="26" xfId="0" applyBorder="1"/>
    <xf numFmtId="173" fontId="27" fillId="5" borderId="27" xfId="0" applyNumberFormat="1" applyFont="1" applyFill="1" applyBorder="1" applyAlignment="1">
      <alignment horizontal="right"/>
    </xf>
    <xf numFmtId="173" fontId="27" fillId="5" borderId="28" xfId="0" applyNumberFormat="1" applyFont="1" applyFill="1" applyBorder="1" applyAlignment="1">
      <alignment horizontal="right"/>
    </xf>
    <xf numFmtId="173" fontId="27" fillId="5" borderId="29" xfId="0" applyNumberFormat="1" applyFont="1" applyFill="1" applyBorder="1" applyAlignment="1">
      <alignment horizontal="right"/>
    </xf>
    <xf numFmtId="164" fontId="0" fillId="5" borderId="30" xfId="0" applyFill="1" applyBorder="1"/>
    <xf numFmtId="164" fontId="0" fillId="5" borderId="25" xfId="0" applyFill="1" applyBorder="1"/>
    <xf numFmtId="164" fontId="0" fillId="5" borderId="3" xfId="0" applyFill="1" applyBorder="1"/>
    <xf numFmtId="173" fontId="27" fillId="5" borderId="31" xfId="0" applyNumberFormat="1" applyFont="1" applyFill="1" applyBorder="1" applyAlignment="1">
      <alignment horizontal="right"/>
    </xf>
    <xf numFmtId="164" fontId="0" fillId="5" borderId="32" xfId="0" applyFill="1" applyBorder="1"/>
    <xf numFmtId="173" fontId="27" fillId="5" borderId="33" xfId="0" applyNumberFormat="1" applyFont="1" applyFill="1" applyBorder="1" applyAlignment="1">
      <alignment horizontal="right"/>
    </xf>
    <xf numFmtId="164" fontId="0" fillId="5" borderId="12" xfId="0" applyFill="1" applyBorder="1"/>
    <xf numFmtId="164" fontId="0" fillId="5" borderId="13" xfId="0" applyFill="1" applyBorder="1"/>
    <xf numFmtId="164" fontId="0" fillId="5" borderId="16" xfId="0" applyFill="1" applyBorder="1"/>
    <xf numFmtId="164" fontId="0" fillId="0" borderId="0" xfId="0" applyFill="1" applyBorder="1"/>
    <xf numFmtId="21" fontId="0" fillId="3" borderId="6" xfId="0" applyNumberFormat="1" applyFill="1" applyBorder="1" applyAlignment="1" applyProtection="1">
      <alignment horizontal="center"/>
    </xf>
    <xf numFmtId="164" fontId="0" fillId="0" borderId="4" xfId="0" applyFill="1" applyBorder="1"/>
    <xf numFmtId="164" fontId="7" fillId="0" borderId="34" xfId="0" applyFont="1" applyFill="1" applyBorder="1"/>
    <xf numFmtId="164" fontId="0" fillId="0" borderId="34" xfId="0" applyFill="1" applyBorder="1"/>
    <xf numFmtId="164" fontId="28" fillId="0" borderId="34" xfId="0" applyFont="1" applyFill="1" applyBorder="1" applyAlignment="1">
      <alignment horizontal="left" vertical="center" indent="1"/>
    </xf>
    <xf numFmtId="164" fontId="28" fillId="0" borderId="4" xfId="0" applyFont="1" applyFill="1" applyBorder="1" applyAlignment="1">
      <alignment horizontal="left" vertical="center" indent="1"/>
    </xf>
    <xf numFmtId="164" fontId="0" fillId="0" borderId="4" xfId="0" applyFill="1" applyBorder="1" applyAlignment="1">
      <alignment horizontal="right" vertical="center"/>
    </xf>
    <xf numFmtId="164" fontId="0" fillId="0" borderId="34" xfId="0" applyFill="1" applyBorder="1" applyAlignment="1">
      <alignment horizontal="right" vertical="center"/>
    </xf>
    <xf numFmtId="2" fontId="7" fillId="0" borderId="0" xfId="0" applyNumberFormat="1" applyFont="1" applyAlignment="1">
      <alignment horizontal="center"/>
    </xf>
    <xf numFmtId="0" fontId="29" fillId="0" borderId="0" xfId="8" applyFont="1"/>
    <xf numFmtId="0" fontId="12" fillId="0" borderId="0" xfId="8" applyFont="1"/>
    <xf numFmtId="0" fontId="1" fillId="0" borderId="0" xfId="8"/>
    <xf numFmtId="0" fontId="1" fillId="0" borderId="35" xfId="8" applyBorder="1" applyAlignment="1">
      <alignment horizontal="center" wrapText="1"/>
    </xf>
    <xf numFmtId="171" fontId="1" fillId="0" borderId="0" xfId="8" applyNumberFormat="1" applyAlignment="1">
      <alignment horizontal="center"/>
    </xf>
    <xf numFmtId="0" fontId="29" fillId="0" borderId="0" xfId="8" applyFont="1" applyAlignment="1">
      <alignment horizontal="center"/>
    </xf>
    <xf numFmtId="170" fontId="1" fillId="0" borderId="0" xfId="8" applyNumberFormat="1" applyAlignment="1">
      <alignment horizontal="center"/>
    </xf>
    <xf numFmtId="171" fontId="1" fillId="0" borderId="0" xfId="8" applyNumberFormat="1"/>
    <xf numFmtId="2" fontId="1" fillId="0" borderId="0" xfId="8" applyNumberFormat="1"/>
    <xf numFmtId="170" fontId="1" fillId="0" borderId="0" xfId="8" applyNumberFormat="1"/>
    <xf numFmtId="2" fontId="12" fillId="0" borderId="0" xfId="8" applyNumberFormat="1" applyFont="1"/>
    <xf numFmtId="0" fontId="31" fillId="0" borderId="0" xfId="8" applyFont="1"/>
    <xf numFmtId="0" fontId="32" fillId="0" borderId="0" xfId="8" applyFont="1"/>
    <xf numFmtId="2" fontId="1" fillId="0" borderId="35" xfId="8" applyNumberFormat="1" applyBorder="1" applyAlignment="1">
      <alignment horizontal="center" wrapText="1"/>
    </xf>
    <xf numFmtId="2" fontId="30" fillId="0" borderId="36" xfId="8" applyNumberFormat="1" applyFont="1" applyBorder="1" applyAlignment="1">
      <alignment horizontal="center"/>
    </xf>
    <xf numFmtId="2" fontId="30" fillId="0" borderId="36" xfId="8" applyNumberFormat="1" applyFont="1" applyBorder="1" applyAlignment="1">
      <alignment horizontal="center" vertical="center"/>
    </xf>
    <xf numFmtId="0" fontId="12" fillId="0" borderId="0" xfId="8" applyFont="1" applyAlignment="1">
      <alignment vertical="center"/>
    </xf>
    <xf numFmtId="171" fontId="1" fillId="0" borderId="0" xfId="8" applyNumberFormat="1" applyAlignment="1">
      <alignment horizontal="center" vertical="center"/>
    </xf>
    <xf numFmtId="0" fontId="29" fillId="0" borderId="0" xfId="8" applyFont="1" applyAlignment="1">
      <alignment horizontal="center" vertical="center"/>
    </xf>
    <xf numFmtId="170" fontId="1" fillId="0" borderId="0" xfId="8" applyNumberFormat="1" applyAlignment="1">
      <alignment horizontal="center" vertical="center"/>
    </xf>
    <xf numFmtId="2" fontId="30" fillId="2" borderId="37"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protection locked="0"/>
    </xf>
    <xf numFmtId="2" fontId="30" fillId="2" borderId="36" xfId="8" applyNumberFormat="1" applyFont="1" applyFill="1" applyBorder="1" applyAlignment="1" applyProtection="1">
      <alignment horizontal="center" vertical="center"/>
      <protection locked="0"/>
    </xf>
    <xf numFmtId="0" fontId="1" fillId="0" borderId="26" xfId="8" applyBorder="1" applyAlignment="1">
      <alignment horizontal="center" wrapText="1"/>
    </xf>
    <xf numFmtId="2" fontId="30" fillId="0" borderId="15" xfId="8" applyNumberFormat="1" applyFont="1" applyBorder="1" applyAlignment="1">
      <alignment horizontal="center"/>
    </xf>
    <xf numFmtId="164" fontId="28" fillId="0" borderId="34" xfId="0" applyFont="1" applyFill="1" applyBorder="1" applyAlignment="1">
      <alignment horizontal="center" vertical="center"/>
    </xf>
    <xf numFmtId="164" fontId="28" fillId="0" borderId="4" xfId="0" applyFont="1" applyFill="1" applyBorder="1" applyAlignment="1">
      <alignment horizontal="center" vertical="center"/>
    </xf>
    <xf numFmtId="0" fontId="1" fillId="2" borderId="38" xfId="8" applyFill="1" applyBorder="1" applyAlignment="1">
      <alignment horizontal="center" wrapText="1"/>
    </xf>
    <xf numFmtId="0" fontId="1" fillId="2" borderId="39" xfId="8" applyFill="1" applyBorder="1" applyAlignment="1">
      <alignment horizontal="center" vertical="center" wrapText="1"/>
    </xf>
    <xf numFmtId="2" fontId="1" fillId="2" borderId="39" xfId="8" applyNumberFormat="1" applyFill="1" applyBorder="1" applyAlignment="1">
      <alignment horizontal="center" wrapText="1"/>
    </xf>
    <xf numFmtId="164" fontId="34" fillId="0" borderId="0" xfId="0" applyFont="1"/>
    <xf numFmtId="164" fontId="4" fillId="0" borderId="4" xfId="0" applyFont="1" applyFill="1" applyBorder="1" applyProtection="1"/>
    <xf numFmtId="174" fontId="22" fillId="0" borderId="4" xfId="0" applyNumberFormat="1" applyFont="1" applyFill="1" applyBorder="1" applyAlignment="1" applyProtection="1">
      <alignment horizontal="center"/>
      <protection locked="0"/>
    </xf>
    <xf numFmtId="164" fontId="34" fillId="0" borderId="0" xfId="0" applyFont="1" applyAlignment="1"/>
    <xf numFmtId="1" fontId="34" fillId="0" borderId="0" xfId="0" applyNumberFormat="1" applyFont="1" applyAlignment="1">
      <alignment horizontal="left"/>
    </xf>
    <xf numFmtId="164" fontId="35" fillId="0" borderId="0" xfId="0" applyFont="1"/>
    <xf numFmtId="173" fontId="29" fillId="0" borderId="0" xfId="0" applyNumberFormat="1" applyFont="1" applyBorder="1"/>
    <xf numFmtId="164" fontId="29" fillId="0" borderId="0" xfId="0" applyFont="1"/>
    <xf numFmtId="170" fontId="35" fillId="0" borderId="0" xfId="0" applyNumberFormat="1" applyFont="1"/>
    <xf numFmtId="164" fontId="0" fillId="6" borderId="10" xfId="0" applyFill="1" applyBorder="1" applyAlignment="1" applyProtection="1">
      <alignment horizontal="left"/>
    </xf>
    <xf numFmtId="164" fontId="0" fillId="6" borderId="6" xfId="0" applyFill="1" applyBorder="1" applyAlignment="1" applyProtection="1">
      <alignment horizontal="left"/>
    </xf>
    <xf numFmtId="164" fontId="0" fillId="6" borderId="10" xfId="0" applyFill="1" applyBorder="1" applyProtection="1"/>
    <xf numFmtId="164" fontId="0" fillId="6" borderId="7" xfId="0" applyFill="1" applyBorder="1" applyProtection="1"/>
    <xf numFmtId="164" fontId="0" fillId="6" borderId="9" xfId="0" applyFill="1" applyBorder="1" applyProtection="1"/>
    <xf numFmtId="164" fontId="0" fillId="6" borderId="8" xfId="0" applyFill="1" applyBorder="1" applyProtection="1"/>
    <xf numFmtId="164" fontId="0" fillId="3" borderId="6" xfId="0" applyFill="1" applyBorder="1" applyAlignment="1" applyProtection="1">
      <alignment horizontal="center"/>
    </xf>
    <xf numFmtId="1" fontId="4" fillId="0" borderId="0" xfId="0" applyNumberFormat="1" applyFont="1"/>
    <xf numFmtId="164" fontId="4" fillId="0" borderId="0" xfId="0" applyFont="1" applyAlignment="1" applyProtection="1">
      <alignment horizontal="left"/>
    </xf>
    <xf numFmtId="164" fontId="4" fillId="0" borderId="0" xfId="0" applyFont="1" applyAlignment="1">
      <alignment horizontal="center"/>
    </xf>
    <xf numFmtId="164" fontId="12" fillId="0" borderId="0" xfId="0" applyFont="1"/>
    <xf numFmtId="164" fontId="10" fillId="0" borderId="40" xfId="0" applyFont="1" applyBorder="1"/>
    <xf numFmtId="2" fontId="0" fillId="0" borderId="24" xfId="0" applyNumberFormat="1" applyFill="1" applyBorder="1" applyAlignment="1" applyProtection="1"/>
    <xf numFmtId="164" fontId="0" fillId="0" borderId="41" xfId="0" applyBorder="1"/>
    <xf numFmtId="0" fontId="14" fillId="0" borderId="0" xfId="8" applyFont="1"/>
    <xf numFmtId="0" fontId="14" fillId="0" borderId="0" xfId="8" applyFont="1" applyAlignment="1">
      <alignment horizontal="left"/>
    </xf>
    <xf numFmtId="170" fontId="1" fillId="0" borderId="0" xfId="8" applyNumberFormat="1" applyFont="1" applyAlignment="1">
      <alignment horizontal="center" vertical="center" wrapText="1"/>
    </xf>
    <xf numFmtId="164" fontId="40" fillId="0" borderId="0" xfId="0" applyFont="1" applyBorder="1" applyAlignment="1" applyProtection="1">
      <alignment horizontal="left"/>
    </xf>
    <xf numFmtId="0" fontId="44" fillId="0" borderId="0" xfId="8" applyFont="1"/>
    <xf numFmtId="164" fontId="0" fillId="7" borderId="0" xfId="0" applyFill="1"/>
    <xf numFmtId="164" fontId="22" fillId="0" borderId="0" xfId="0" applyFont="1" applyProtection="1"/>
    <xf numFmtId="164" fontId="22" fillId="0" borderId="0" xfId="0" applyFont="1" applyAlignment="1" applyProtection="1">
      <alignment horizontal="center"/>
    </xf>
    <xf numFmtId="164" fontId="45" fillId="0" borderId="0" xfId="0" applyFont="1"/>
    <xf numFmtId="164" fontId="0" fillId="0" borderId="42" xfId="0" applyBorder="1"/>
    <xf numFmtId="164" fontId="0" fillId="0" borderId="43" xfId="0" applyBorder="1"/>
    <xf numFmtId="164" fontId="0" fillId="0" borderId="44" xfId="0" applyBorder="1"/>
    <xf numFmtId="164" fontId="12" fillId="8" borderId="0" xfId="0" applyFont="1" applyFill="1" applyBorder="1" applyAlignment="1" applyProtection="1">
      <alignment horizontal="center"/>
      <protection locked="0"/>
    </xf>
    <xf numFmtId="2" fontId="12" fillId="8" borderId="20" xfId="0" applyNumberFormat="1" applyFont="1" applyFill="1" applyBorder="1" applyAlignment="1" applyProtection="1">
      <alignment horizontal="center"/>
      <protection locked="0"/>
    </xf>
    <xf numFmtId="164" fontId="12" fillId="8" borderId="3" xfId="0" applyFont="1" applyFill="1" applyBorder="1" applyAlignment="1" applyProtection="1">
      <alignment horizontal="center"/>
      <protection locked="0"/>
    </xf>
    <xf numFmtId="2" fontId="12" fillId="8" borderId="25" xfId="0" applyNumberFormat="1" applyFont="1" applyFill="1" applyBorder="1" applyAlignment="1" applyProtection="1">
      <alignment horizontal="center"/>
      <protection locked="0"/>
    </xf>
    <xf numFmtId="164" fontId="34" fillId="0" borderId="0" xfId="0" applyFont="1" applyFill="1" applyProtection="1"/>
    <xf numFmtId="164" fontId="34" fillId="0" borderId="0" xfId="0" applyFont="1" applyFill="1" applyAlignment="1">
      <alignment horizontal="left"/>
    </xf>
    <xf numFmtId="164" fontId="34" fillId="0" borderId="0" xfId="0" applyFont="1" applyFill="1"/>
    <xf numFmtId="164" fontId="35" fillId="0" borderId="0" xfId="0" applyFont="1" applyFill="1"/>
    <xf numFmtId="164" fontId="47" fillId="0" borderId="0" xfId="0" applyFont="1" applyFill="1"/>
    <xf numFmtId="164" fontId="34" fillId="0" borderId="0" xfId="0" applyFont="1" applyFill="1" applyAlignment="1">
      <alignment horizontal="right"/>
    </xf>
    <xf numFmtId="164" fontId="34" fillId="0" borderId="0" xfId="0" applyFont="1" applyFill="1" applyAlignment="1" applyProtection="1">
      <alignment horizontal="right"/>
    </xf>
    <xf numFmtId="164" fontId="34" fillId="0" borderId="0" xfId="0" applyFont="1" applyFill="1" applyAlignment="1">
      <alignment horizontal="right" wrapText="1"/>
    </xf>
    <xf numFmtId="164" fontId="34" fillId="0" borderId="0" xfId="0" applyFont="1" applyFill="1" applyBorder="1" applyAlignment="1">
      <alignment horizontal="right"/>
    </xf>
    <xf numFmtId="164" fontId="48" fillId="0" borderId="0" xfId="0" applyFont="1" applyFill="1"/>
    <xf numFmtId="164" fontId="29" fillId="0" borderId="0" xfId="0" applyFont="1" applyFill="1"/>
    <xf numFmtId="164" fontId="34" fillId="0" borderId="0" xfId="0" applyFont="1" applyBorder="1"/>
    <xf numFmtId="164" fontId="4" fillId="0" borderId="0" xfId="0" applyFont="1" applyAlignment="1" applyProtection="1">
      <alignment horizontal="center" wrapText="1"/>
    </xf>
    <xf numFmtId="164" fontId="24" fillId="0" borderId="0" xfId="0" applyFont="1" applyProtection="1"/>
    <xf numFmtId="0" fontId="1" fillId="0" borderId="0" xfId="8" applyFont="1"/>
    <xf numFmtId="0" fontId="43" fillId="0" borderId="0" xfId="8" applyFont="1" applyAlignment="1">
      <alignment horizontal="center" vertical="center"/>
    </xf>
    <xf numFmtId="164" fontId="9" fillId="3" borderId="41" xfId="0" applyFont="1" applyFill="1" applyBorder="1" applyAlignment="1" applyProtection="1">
      <alignment horizontal="center" vertical="center" textRotation="180" wrapText="1"/>
      <protection locked="0"/>
    </xf>
    <xf numFmtId="164" fontId="8" fillId="3" borderId="20" xfId="0" applyFont="1" applyFill="1" applyBorder="1" applyAlignment="1">
      <alignment horizontal="left" vertical="top" wrapText="1"/>
    </xf>
    <xf numFmtId="164" fontId="8" fillId="3" borderId="25" xfId="0" applyFont="1" applyFill="1" applyBorder="1" applyAlignment="1">
      <alignment horizontal="left" vertical="top" wrapText="1"/>
    </xf>
    <xf numFmtId="0" fontId="1" fillId="0" borderId="0" xfId="8" applyFont="1" applyAlignment="1">
      <alignment vertical="center"/>
    </xf>
    <xf numFmtId="0" fontId="29" fillId="0" borderId="0" xfId="8" applyFont="1" applyAlignment="1">
      <alignment horizontal="left"/>
    </xf>
    <xf numFmtId="164" fontId="7" fillId="0" borderId="0" xfId="0" applyFont="1" applyFill="1" applyAlignment="1">
      <alignment horizontal="center"/>
    </xf>
    <xf numFmtId="2" fontId="0" fillId="3" borderId="2" xfId="0" applyNumberFormat="1" applyFill="1" applyBorder="1" applyAlignment="1" applyProtection="1">
      <alignment horizontal="center"/>
    </xf>
    <xf numFmtId="2" fontId="0" fillId="3" borderId="6" xfId="0" applyNumberFormat="1" applyFill="1" applyBorder="1" applyAlignment="1" applyProtection="1">
      <alignment horizontal="center"/>
    </xf>
    <xf numFmtId="164" fontId="4" fillId="0" borderId="0" xfId="0" applyFont="1" applyFill="1" applyProtection="1"/>
    <xf numFmtId="164" fontId="4" fillId="0" borderId="0" xfId="0" applyFont="1" applyFill="1" applyAlignment="1">
      <alignment horizontal="left"/>
    </xf>
    <xf numFmtId="164" fontId="4" fillId="0" borderId="0" xfId="0" applyFont="1" applyFill="1"/>
    <xf numFmtId="164" fontId="16" fillId="0" borderId="0" xfId="0" applyFont="1" applyFill="1"/>
    <xf numFmtId="164" fontId="12" fillId="0" borderId="0" xfId="0" applyFont="1" applyFill="1"/>
    <xf numFmtId="164" fontId="4" fillId="0" borderId="0" xfId="0" applyFont="1" applyFill="1" applyAlignment="1">
      <alignment horizontal="right"/>
    </xf>
    <xf numFmtId="164" fontId="4" fillId="0" borderId="0" xfId="0" applyFont="1" applyFill="1" applyAlignment="1" applyProtection="1">
      <alignment horizontal="right"/>
    </xf>
    <xf numFmtId="164" fontId="4" fillId="0" borderId="0" xfId="0" applyFont="1" applyFill="1" applyAlignment="1">
      <alignment horizontal="right" wrapText="1"/>
    </xf>
    <xf numFmtId="164" fontId="4" fillId="0" borderId="0" xfId="0" applyFont="1" applyFill="1" applyBorder="1" applyAlignment="1">
      <alignment horizontal="right"/>
    </xf>
    <xf numFmtId="164" fontId="57" fillId="0" borderId="0" xfId="0" applyFont="1" applyFill="1"/>
    <xf numFmtId="164" fontId="4" fillId="0" borderId="0" xfId="0" applyFont="1" applyFill="1" applyAlignment="1">
      <alignment horizontal="center"/>
    </xf>
    <xf numFmtId="164" fontId="15" fillId="8" borderId="0" xfId="0" applyFont="1" applyFill="1" applyBorder="1" applyAlignment="1">
      <alignment horizontal="left" vertical="top" wrapText="1" indent="1"/>
    </xf>
    <xf numFmtId="164" fontId="0" fillId="8" borderId="0" xfId="0" applyFill="1" applyBorder="1"/>
    <xf numFmtId="164" fontId="15" fillId="3" borderId="0" xfId="0" applyFont="1" applyFill="1" applyBorder="1" applyAlignment="1">
      <alignment horizontal="left" vertical="justify" wrapText="1" indent="1"/>
    </xf>
    <xf numFmtId="164" fontId="8" fillId="3" borderId="0" xfId="0" applyFont="1" applyFill="1" applyBorder="1" applyAlignment="1">
      <alignment horizontal="left" vertical="top" wrapText="1"/>
    </xf>
    <xf numFmtId="164" fontId="8" fillId="3" borderId="0" xfId="0" applyFont="1" applyFill="1" applyBorder="1" applyAlignment="1">
      <alignment horizontal="center" vertical="top" wrapText="1"/>
    </xf>
    <xf numFmtId="164" fontId="8" fillId="0" borderId="0" xfId="0" applyFont="1" applyBorder="1" applyAlignment="1">
      <alignment horizontal="center" vertical="top" wrapText="1"/>
    </xf>
    <xf numFmtId="171" fontId="1" fillId="0" borderId="0" xfId="8" applyNumberFormat="1" applyProtection="1">
      <protection locked="0"/>
    </xf>
    <xf numFmtId="0" fontId="8" fillId="0" borderId="0" xfId="8" applyFont="1" applyBorder="1" applyAlignment="1">
      <alignment horizontal="center" vertical="center"/>
    </xf>
    <xf numFmtId="173" fontId="46" fillId="8" borderId="10" xfId="0" applyNumberFormat="1" applyFont="1" applyFill="1" applyBorder="1" applyProtection="1"/>
    <xf numFmtId="164" fontId="46" fillId="8" borderId="0" xfId="0" applyFont="1" applyFill="1" applyBorder="1" applyProtection="1"/>
    <xf numFmtId="164" fontId="46" fillId="8" borderId="20" xfId="0" applyFont="1" applyFill="1" applyBorder="1" applyProtection="1"/>
    <xf numFmtId="173" fontId="46" fillId="8" borderId="40" xfId="0" applyNumberFormat="1" applyFont="1" applyFill="1" applyBorder="1" applyAlignment="1" applyProtection="1">
      <alignment horizontal="right"/>
    </xf>
    <xf numFmtId="173" fontId="46" fillId="8" borderId="24" xfId="0" applyNumberFormat="1" applyFont="1" applyFill="1" applyBorder="1" applyAlignment="1" applyProtection="1">
      <alignment horizontal="right" vertical="center"/>
    </xf>
    <xf numFmtId="1" fontId="46" fillId="8" borderId="41" xfId="0" applyNumberFormat="1" applyFont="1" applyFill="1" applyBorder="1" applyAlignment="1" applyProtection="1">
      <alignment horizontal="left" vertical="center"/>
    </xf>
    <xf numFmtId="173" fontId="12" fillId="8" borderId="10" xfId="0" applyNumberFormat="1" applyFont="1" applyFill="1" applyBorder="1" applyAlignment="1" applyProtection="1">
      <alignment horizontal="center"/>
    </xf>
    <xf numFmtId="173" fontId="12" fillId="8" borderId="9" xfId="0" applyNumberFormat="1" applyFont="1" applyFill="1" applyBorder="1" applyAlignment="1" applyProtection="1">
      <alignment horizontal="center"/>
    </xf>
    <xf numFmtId="164" fontId="4" fillId="0" borderId="0" xfId="0" applyFont="1" applyAlignment="1">
      <alignment horizontal="centerContinuous"/>
    </xf>
    <xf numFmtId="164" fontId="4" fillId="0" borderId="0" xfId="0" applyFont="1" applyAlignment="1" applyProtection="1">
      <alignment horizontal="right"/>
    </xf>
    <xf numFmtId="164" fontId="4" fillId="0" borderId="0" xfId="0" applyFont="1" applyAlignment="1" applyProtection="1">
      <alignment horizontal="center"/>
    </xf>
    <xf numFmtId="164" fontId="4" fillId="0" borderId="45" xfId="0" applyFont="1" applyBorder="1"/>
    <xf numFmtId="164" fontId="4" fillId="0" borderId="46" xfId="0" applyFont="1" applyBorder="1"/>
    <xf numFmtId="164" fontId="4" fillId="0" borderId="47" xfId="0" applyFont="1" applyBorder="1"/>
    <xf numFmtId="164" fontId="4" fillId="0" borderId="48" xfId="0" applyFont="1" applyBorder="1" applyAlignment="1">
      <alignment horizontal="centerContinuous"/>
    </xf>
    <xf numFmtId="164" fontId="4" fillId="0" borderId="49" xfId="0" applyFont="1" applyBorder="1"/>
    <xf numFmtId="164" fontId="4" fillId="0" borderId="48" xfId="0" applyFont="1" applyBorder="1" applyAlignment="1">
      <alignment horizontal="center"/>
    </xf>
    <xf numFmtId="170" fontId="4" fillId="0" borderId="49" xfId="0" applyNumberFormat="1" applyFont="1" applyFill="1" applyBorder="1" applyAlignment="1" applyProtection="1">
      <alignment horizontal="left"/>
    </xf>
    <xf numFmtId="164" fontId="4" fillId="0" borderId="48" xfId="0" applyFont="1" applyBorder="1"/>
    <xf numFmtId="164" fontId="4" fillId="0" borderId="50" xfId="0" applyFont="1" applyBorder="1"/>
    <xf numFmtId="164" fontId="4" fillId="0" borderId="51" xfId="0" applyFont="1" applyBorder="1"/>
    <xf numFmtId="164" fontId="4" fillId="0" borderId="52" xfId="0" applyFont="1" applyBorder="1"/>
    <xf numFmtId="0" fontId="8" fillId="0" borderId="0" xfId="8" applyFont="1" applyAlignment="1">
      <alignment horizontal="center"/>
    </xf>
    <xf numFmtId="0" fontId="1" fillId="0" borderId="0" xfId="8" applyBorder="1"/>
    <xf numFmtId="0" fontId="1" fillId="0" borderId="0" xfId="8" applyAlignment="1">
      <alignment wrapText="1"/>
    </xf>
    <xf numFmtId="0" fontId="1" fillId="0" borderId="0" xfId="8" applyFont="1" applyAlignment="1">
      <alignment horizontal="center" vertical="center" wrapText="1"/>
    </xf>
    <xf numFmtId="176" fontId="0" fillId="2" borderId="1" xfId="0" applyNumberFormat="1" applyFill="1" applyBorder="1" applyAlignment="1" applyProtection="1">
      <alignment horizontal="center"/>
      <protection locked="0"/>
    </xf>
    <xf numFmtId="2" fontId="4" fillId="0" borderId="0" xfId="0" applyNumberFormat="1" applyFont="1" applyProtection="1"/>
    <xf numFmtId="171" fontId="4" fillId="0" borderId="0" xfId="0" applyNumberFormat="1" applyFont="1" applyProtection="1"/>
    <xf numFmtId="2" fontId="4" fillId="0" borderId="4" xfId="0" applyNumberFormat="1" applyFont="1" applyFill="1" applyBorder="1" applyAlignment="1" applyProtection="1">
      <alignment horizontal="center"/>
    </xf>
    <xf numFmtId="1" fontId="4" fillId="0" borderId="4" xfId="0" applyNumberFormat="1" applyFont="1" applyFill="1" applyBorder="1" applyAlignment="1" applyProtection="1">
      <alignment horizontal="left"/>
    </xf>
    <xf numFmtId="164" fontId="0" fillId="0" borderId="53" xfId="0" applyBorder="1" applyAlignment="1" applyProtection="1">
      <alignment horizontal="left"/>
    </xf>
    <xf numFmtId="164" fontId="0" fillId="0" borderId="13" xfId="0" applyFill="1" applyBorder="1" applyAlignment="1" applyProtection="1">
      <alignment horizontal="center"/>
    </xf>
    <xf numFmtId="164" fontId="17" fillId="0" borderId="0" xfId="0" applyFont="1"/>
    <xf numFmtId="164" fontId="60" fillId="0" borderId="0" xfId="0" applyFont="1"/>
    <xf numFmtId="164" fontId="60" fillId="0" borderId="0" xfId="0" applyFont="1" applyAlignment="1" applyProtection="1">
      <alignment horizontal="left"/>
    </xf>
    <xf numFmtId="164" fontId="60" fillId="3" borderId="2" xfId="0" applyFont="1" applyFill="1" applyBorder="1" applyAlignment="1" applyProtection="1">
      <alignment horizontal="center"/>
    </xf>
    <xf numFmtId="164" fontId="60" fillId="6" borderId="8" xfId="0" applyFont="1" applyFill="1" applyBorder="1" applyAlignment="1" applyProtection="1">
      <alignment horizontal="center" vertical="top"/>
    </xf>
    <xf numFmtId="164" fontId="60" fillId="6" borderId="8" xfId="0" applyFont="1" applyFill="1" applyBorder="1" applyAlignment="1" applyProtection="1">
      <alignment horizontal="center" vertical="top" wrapText="1"/>
    </xf>
    <xf numFmtId="164" fontId="60" fillId="0" borderId="0" xfId="0" applyFont="1" applyAlignment="1" applyProtection="1">
      <alignment horizontal="center" wrapText="1"/>
    </xf>
    <xf numFmtId="164" fontId="60" fillId="0" borderId="0" xfId="0" applyFont="1" applyAlignment="1">
      <alignment horizontal="center"/>
    </xf>
    <xf numFmtId="164" fontId="17" fillId="0" borderId="0" xfId="0" applyFont="1" applyAlignment="1">
      <alignment horizontal="center"/>
    </xf>
    <xf numFmtId="175" fontId="60" fillId="0" borderId="0" xfId="0" applyNumberFormat="1" applyFont="1"/>
    <xf numFmtId="2" fontId="62" fillId="0" borderId="0" xfId="0" applyNumberFormat="1" applyFont="1" applyAlignment="1">
      <alignment horizontal="left"/>
    </xf>
    <xf numFmtId="164" fontId="64" fillId="0" borderId="0" xfId="0" applyFont="1"/>
    <xf numFmtId="177" fontId="0" fillId="0" borderId="0" xfId="0" applyNumberFormat="1"/>
    <xf numFmtId="164" fontId="58" fillId="0" borderId="34" xfId="0" applyFont="1" applyFill="1" applyBorder="1" applyAlignment="1">
      <alignment horizontal="left" vertical="center"/>
    </xf>
    <xf numFmtId="164" fontId="59" fillId="0" borderId="4" xfId="0" applyFont="1" applyFill="1" applyBorder="1" applyAlignment="1">
      <alignment horizontal="left" vertical="center"/>
    </xf>
    <xf numFmtId="164" fontId="0" fillId="0" borderId="24" xfId="0" applyBorder="1" applyAlignment="1">
      <alignment horizontal="center"/>
    </xf>
    <xf numFmtId="164" fontId="0" fillId="0" borderId="41" xfId="0" applyBorder="1" applyAlignment="1">
      <alignment horizontal="center"/>
    </xf>
    <xf numFmtId="164" fontId="62" fillId="0" borderId="0" xfId="0" applyFont="1" applyAlignment="1">
      <alignment horizontal="right"/>
    </xf>
    <xf numFmtId="164" fontId="22" fillId="0" borderId="0" xfId="0" applyFont="1" applyAlignment="1" applyProtection="1">
      <alignment horizontal="center" wrapText="1"/>
    </xf>
    <xf numFmtId="164" fontId="0" fillId="0" borderId="0" xfId="0" applyAlignment="1" applyProtection="1">
      <alignment horizontal="center" wrapText="1"/>
    </xf>
    <xf numFmtId="1" fontId="0" fillId="0" borderId="4" xfId="0" applyNumberFormat="1" applyFill="1" applyBorder="1" applyAlignment="1" applyProtection="1">
      <alignment horizontal="right" vertical="center"/>
    </xf>
    <xf numFmtId="1" fontId="0" fillId="0" borderId="18" xfId="0" applyNumberFormat="1" applyFill="1" applyBorder="1" applyAlignment="1" applyProtection="1">
      <alignment horizontal="right" vertical="center"/>
    </xf>
    <xf numFmtId="164" fontId="0" fillId="0" borderId="0" xfId="0" applyAlignment="1">
      <alignment horizontal="right"/>
    </xf>
    <xf numFmtId="164" fontId="0" fillId="0" borderId="40" xfId="0" applyBorder="1" applyAlignment="1">
      <alignment horizontal="left"/>
    </xf>
    <xf numFmtId="164" fontId="0" fillId="0" borderId="24" xfId="0" applyBorder="1" applyAlignment="1">
      <alignment horizontal="left"/>
    </xf>
    <xf numFmtId="164" fontId="0" fillId="0" borderId="3" xfId="0" applyBorder="1" applyAlignment="1">
      <alignment horizontal="center"/>
    </xf>
    <xf numFmtId="1" fontId="10" fillId="0" borderId="58" xfId="0" applyNumberFormat="1" applyFont="1" applyBorder="1" applyAlignment="1">
      <alignment horizontal="left" vertical="center"/>
    </xf>
    <xf numFmtId="1" fontId="10" fillId="0" borderId="54" xfId="0" applyNumberFormat="1" applyFont="1" applyBorder="1" applyAlignment="1">
      <alignment horizontal="left" vertical="center"/>
    </xf>
    <xf numFmtId="1" fontId="10" fillId="0" borderId="55" xfId="0" applyNumberFormat="1" applyFont="1" applyBorder="1" applyAlignment="1">
      <alignment horizontal="left" vertical="center"/>
    </xf>
    <xf numFmtId="1" fontId="10" fillId="0" borderId="56" xfId="0" applyNumberFormat="1" applyFont="1" applyBorder="1" applyAlignment="1">
      <alignment horizontal="left" vertical="center"/>
    </xf>
    <xf numFmtId="164" fontId="10" fillId="0" borderId="57" xfId="0" applyFont="1" applyBorder="1" applyAlignment="1">
      <alignment horizontal="right" vertical="center"/>
    </xf>
    <xf numFmtId="164" fontId="10" fillId="0" borderId="58" xfId="0" applyFont="1" applyBorder="1" applyAlignment="1">
      <alignment horizontal="right" vertical="center"/>
    </xf>
    <xf numFmtId="164" fontId="10" fillId="0" borderId="59" xfId="0" applyFont="1" applyBorder="1" applyAlignment="1">
      <alignment horizontal="right" vertical="center"/>
    </xf>
    <xf numFmtId="164" fontId="10" fillId="0" borderId="55" xfId="0" applyFont="1" applyBorder="1" applyAlignment="1">
      <alignment horizontal="right" vertical="center"/>
    </xf>
    <xf numFmtId="1" fontId="10" fillId="0" borderId="58" xfId="0" applyNumberFormat="1" applyFont="1" applyBorder="1" applyAlignment="1">
      <alignment horizontal="center" vertical="center"/>
    </xf>
    <xf numFmtId="1" fontId="10" fillId="0" borderId="55" xfId="0" applyNumberFormat="1" applyFont="1" applyBorder="1" applyAlignment="1">
      <alignment horizontal="center" vertical="center"/>
    </xf>
    <xf numFmtId="164" fontId="0" fillId="0" borderId="0" xfId="0" applyBorder="1" applyAlignment="1">
      <alignment horizontal="right"/>
    </xf>
    <xf numFmtId="164" fontId="0" fillId="0" borderId="65" xfId="0" applyBorder="1" applyAlignment="1">
      <alignment horizontal="center"/>
    </xf>
    <xf numFmtId="164" fontId="0" fillId="0" borderId="19" xfId="0" applyBorder="1" applyAlignment="1">
      <alignment horizontal="center"/>
    </xf>
    <xf numFmtId="164" fontId="0" fillId="0" borderId="37" xfId="0" applyBorder="1" applyAlignment="1">
      <alignment horizontal="center"/>
    </xf>
    <xf numFmtId="164" fontId="58" fillId="0" borderId="34" xfId="0" applyFont="1" applyFill="1" applyBorder="1" applyAlignment="1">
      <alignment horizontal="center" vertical="center"/>
    </xf>
    <xf numFmtId="164" fontId="59" fillId="0" borderId="4" xfId="0" applyFont="1" applyFill="1" applyBorder="1" applyAlignment="1">
      <alignment horizontal="center" vertical="center"/>
    </xf>
    <xf numFmtId="164" fontId="0" fillId="0" borderId="0" xfId="0" applyAlignment="1" applyProtection="1">
      <alignment horizontal="left"/>
    </xf>
    <xf numFmtId="164" fontId="0" fillId="0" borderId="15" xfId="0" applyBorder="1" applyAlignment="1" applyProtection="1">
      <alignment horizontal="left"/>
    </xf>
    <xf numFmtId="164" fontId="0" fillId="0" borderId="0" xfId="0" applyAlignment="1" applyProtection="1">
      <alignment horizontal="right"/>
    </xf>
    <xf numFmtId="164" fontId="0" fillId="0" borderId="0" xfId="0" applyBorder="1" applyAlignment="1" applyProtection="1">
      <alignment horizontal="right"/>
    </xf>
    <xf numFmtId="164" fontId="0" fillId="0" borderId="20" xfId="0" applyBorder="1" applyAlignment="1" applyProtection="1">
      <alignment horizontal="right"/>
    </xf>
    <xf numFmtId="164" fontId="23" fillId="0" borderId="0" xfId="0" applyFont="1" applyAlignment="1" applyProtection="1">
      <alignment horizontal="left"/>
    </xf>
    <xf numFmtId="164" fontId="0" fillId="4" borderId="60" xfId="0" applyFill="1" applyBorder="1" applyAlignment="1">
      <alignment horizontal="center"/>
    </xf>
    <xf numFmtId="164" fontId="0" fillId="4" borderId="19" xfId="0" applyFill="1" applyBorder="1" applyAlignment="1">
      <alignment horizontal="center"/>
    </xf>
    <xf numFmtId="164" fontId="0" fillId="4" borderId="37" xfId="0" applyFill="1" applyBorder="1" applyAlignment="1">
      <alignment horizontal="center"/>
    </xf>
    <xf numFmtId="164" fontId="0" fillId="4" borderId="26" xfId="0" applyFill="1" applyBorder="1" applyAlignment="1">
      <alignment horizontal="center"/>
    </xf>
    <xf numFmtId="164" fontId="0" fillId="4" borderId="0" xfId="0" applyFill="1" applyBorder="1" applyAlignment="1">
      <alignment horizontal="center"/>
    </xf>
    <xf numFmtId="164" fontId="0" fillId="4" borderId="15" xfId="0" applyFill="1" applyBorder="1" applyAlignment="1">
      <alignment horizontal="center"/>
    </xf>
    <xf numFmtId="164" fontId="63" fillId="4" borderId="61" xfId="0" applyFont="1" applyFill="1" applyBorder="1" applyAlignment="1">
      <alignment horizontal="center"/>
    </xf>
    <xf numFmtId="164" fontId="63" fillId="4" borderId="4" xfId="0" applyFont="1" applyFill="1" applyBorder="1" applyAlignment="1">
      <alignment horizontal="center"/>
    </xf>
    <xf numFmtId="164" fontId="63" fillId="4" borderId="18" xfId="0" applyFont="1" applyFill="1" applyBorder="1" applyAlignment="1">
      <alignment horizontal="center"/>
    </xf>
    <xf numFmtId="164" fontId="0" fillId="0" borderId="0" xfId="0" applyAlignment="1">
      <alignment horizontal="left" vertical="center"/>
    </xf>
    <xf numFmtId="164" fontId="0" fillId="0" borderId="15" xfId="0" applyBorder="1" applyAlignment="1">
      <alignment horizontal="left" vertical="center"/>
    </xf>
    <xf numFmtId="164" fontId="20" fillId="0" borderId="5" xfId="0" applyFont="1" applyFill="1" applyBorder="1" applyAlignment="1">
      <alignment horizontal="center" vertical="center" textRotation="90" shrinkToFit="1"/>
    </xf>
    <xf numFmtId="164" fontId="20" fillId="0" borderId="62" xfId="0" applyFont="1" applyFill="1" applyBorder="1" applyAlignment="1">
      <alignment horizontal="center" vertical="center" textRotation="90" shrinkToFit="1"/>
    </xf>
    <xf numFmtId="164" fontId="20" fillId="0" borderId="63" xfId="0" applyFont="1" applyFill="1" applyBorder="1" applyAlignment="1">
      <alignment horizontal="center" vertical="center" textRotation="90" shrinkToFit="1"/>
    </xf>
    <xf numFmtId="164" fontId="11" fillId="0" borderId="0" xfId="0" applyFont="1" applyAlignment="1" applyProtection="1">
      <alignment horizontal="center" wrapText="1"/>
    </xf>
    <xf numFmtId="164" fontId="0" fillId="0" borderId="0" xfId="0" applyAlignment="1">
      <alignment horizontal="center" vertical="center" wrapText="1"/>
    </xf>
    <xf numFmtId="164" fontId="0" fillId="0" borderId="0" xfId="0" applyAlignment="1" applyProtection="1">
      <alignment horizontal="center" vertical="center" wrapText="1"/>
    </xf>
    <xf numFmtId="164" fontId="0" fillId="0" borderId="53" xfId="0" applyBorder="1" applyAlignment="1" applyProtection="1">
      <alignment horizontal="right"/>
    </xf>
    <xf numFmtId="164" fontId="0" fillId="0" borderId="25" xfId="0" applyBorder="1" applyAlignment="1" applyProtection="1">
      <alignment horizontal="right"/>
    </xf>
    <xf numFmtId="164" fontId="0" fillId="0" borderId="26" xfId="0" applyBorder="1" applyAlignment="1">
      <alignment horizontal="right"/>
    </xf>
    <xf numFmtId="164" fontId="0" fillId="0" borderId="20" xfId="0" applyBorder="1" applyAlignment="1">
      <alignment horizontal="right"/>
    </xf>
    <xf numFmtId="164" fontId="0" fillId="0" borderId="0" xfId="0" applyBorder="1" applyAlignment="1">
      <alignment horizontal="left"/>
    </xf>
    <xf numFmtId="164" fontId="0" fillId="0" borderId="15" xfId="0" applyBorder="1" applyAlignment="1">
      <alignment horizontal="left"/>
    </xf>
    <xf numFmtId="164" fontId="28" fillId="0" borderId="64" xfId="0" applyFont="1" applyFill="1" applyBorder="1" applyAlignment="1">
      <alignment horizontal="center" vertical="center"/>
    </xf>
    <xf numFmtId="164" fontId="28" fillId="0" borderId="34" xfId="0" applyFont="1" applyFill="1" applyBorder="1" applyAlignment="1">
      <alignment horizontal="center" vertical="center"/>
    </xf>
    <xf numFmtId="164" fontId="28" fillId="0" borderId="61" xfId="0" applyFont="1" applyFill="1" applyBorder="1" applyAlignment="1">
      <alignment horizontal="center" vertical="center"/>
    </xf>
    <xf numFmtId="164" fontId="28" fillId="0" borderId="4" xfId="0" applyFont="1" applyFill="1" applyBorder="1" applyAlignment="1">
      <alignment horizontal="center" vertical="center"/>
    </xf>
    <xf numFmtId="164" fontId="10" fillId="0" borderId="0" xfId="0" applyFont="1" applyBorder="1" applyAlignment="1" applyProtection="1">
      <alignment horizontal="center"/>
    </xf>
    <xf numFmtId="164" fontId="0" fillId="6" borderId="7" xfId="0" applyFill="1" applyBorder="1" applyAlignment="1" applyProtection="1">
      <alignment horizontal="center" wrapText="1"/>
    </xf>
    <xf numFmtId="164" fontId="0" fillId="0" borderId="0" xfId="0" applyAlignment="1">
      <alignment horizontal="left"/>
    </xf>
    <xf numFmtId="164" fontId="61" fillId="3" borderId="10" xfId="0" applyFont="1" applyFill="1" applyBorder="1" applyAlignment="1" applyProtection="1">
      <alignment horizontal="center" vertical="center"/>
    </xf>
    <xf numFmtId="164" fontId="61" fillId="3" borderId="20" xfId="0" applyFont="1" applyFill="1" applyBorder="1" applyAlignment="1" applyProtection="1">
      <alignment horizontal="center" vertical="center"/>
    </xf>
    <xf numFmtId="164" fontId="61" fillId="3" borderId="9" xfId="0" applyFont="1" applyFill="1" applyBorder="1" applyAlignment="1" applyProtection="1">
      <alignment horizontal="center" vertical="center"/>
    </xf>
    <xf numFmtId="164" fontId="61" fillId="3" borderId="25" xfId="0" applyFont="1" applyFill="1" applyBorder="1" applyAlignment="1" applyProtection="1">
      <alignment horizontal="center" vertical="center"/>
    </xf>
    <xf numFmtId="2" fontId="30" fillId="0" borderId="37" xfId="8" applyNumberFormat="1" applyFont="1" applyBorder="1" applyAlignment="1">
      <alignment horizontal="center" vertical="center"/>
    </xf>
    <xf numFmtId="2" fontId="30" fillId="0" borderId="18" xfId="8" applyNumberFormat="1" applyFont="1" applyBorder="1" applyAlignment="1">
      <alignment horizontal="center" vertical="center"/>
    </xf>
    <xf numFmtId="0" fontId="8" fillId="0" borderId="60" xfId="8" applyFont="1" applyBorder="1" applyAlignment="1">
      <alignment horizontal="center" vertical="center" wrapText="1"/>
    </xf>
    <xf numFmtId="0" fontId="8" fillId="0" borderId="19"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6" xfId="8" applyFont="1" applyBorder="1" applyAlignment="1">
      <alignment horizontal="center" vertical="center" wrapText="1"/>
    </xf>
    <xf numFmtId="0" fontId="8" fillId="0" borderId="0" xfId="8" applyFont="1" applyBorder="1" applyAlignment="1">
      <alignment horizontal="center" vertical="center" wrapText="1"/>
    </xf>
    <xf numFmtId="0" fontId="8" fillId="0" borderId="15" xfId="8" applyFont="1" applyBorder="1" applyAlignment="1">
      <alignment horizontal="center" vertical="center" wrapText="1"/>
    </xf>
    <xf numFmtId="0" fontId="8" fillId="0" borderId="61"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8" xfId="8" applyFont="1" applyBorder="1" applyAlignment="1">
      <alignment horizontal="center" vertical="center" wrapText="1"/>
    </xf>
    <xf numFmtId="0" fontId="43" fillId="0" borderId="0" xfId="8" applyFont="1" applyAlignment="1">
      <alignment horizontal="center" vertical="center"/>
    </xf>
    <xf numFmtId="2" fontId="30" fillId="2" borderId="66" xfId="8" applyNumberFormat="1" applyFont="1" applyFill="1" applyBorder="1" applyAlignment="1" applyProtection="1">
      <alignment horizontal="center" vertical="center"/>
      <protection locked="0"/>
    </xf>
    <xf numFmtId="2" fontId="30" fillId="2" borderId="67" xfId="8" applyNumberFormat="1" applyFont="1" applyFill="1" applyBorder="1" applyAlignment="1" applyProtection="1">
      <alignment horizontal="center" vertical="center"/>
      <protection locked="0"/>
    </xf>
    <xf numFmtId="0" fontId="8" fillId="3" borderId="35" xfId="8" applyFont="1" applyFill="1" applyBorder="1" applyAlignment="1">
      <alignment horizontal="center"/>
    </xf>
    <xf numFmtId="0" fontId="8" fillId="3" borderId="36" xfId="8" applyFont="1" applyFill="1" applyBorder="1" applyAlignment="1">
      <alignment horizontal="center"/>
    </xf>
    <xf numFmtId="0" fontId="33" fillId="3" borderId="35" xfId="8" applyFont="1" applyFill="1" applyBorder="1" applyAlignment="1">
      <alignment horizontal="center" vertical="center" wrapText="1"/>
    </xf>
    <xf numFmtId="164" fontId="6" fillId="3" borderId="36" xfId="0" applyFont="1" applyFill="1" applyBorder="1" applyAlignment="1">
      <alignment horizontal="center" vertical="center"/>
    </xf>
    <xf numFmtId="0" fontId="29" fillId="0" borderId="0" xfId="8" applyFont="1" applyAlignment="1">
      <alignment horizontal="center" wrapText="1"/>
    </xf>
    <xf numFmtId="0" fontId="29" fillId="0" borderId="0" xfId="8" applyFont="1" applyAlignment="1">
      <alignment vertical="center"/>
    </xf>
    <xf numFmtId="2" fontId="1" fillId="2" borderId="68" xfId="8" applyNumberFormat="1" applyFill="1" applyBorder="1" applyAlignment="1">
      <alignment horizontal="center" vertical="center" wrapText="1"/>
    </xf>
    <xf numFmtId="2" fontId="1" fillId="2" borderId="69" xfId="8" applyNumberFormat="1" applyFill="1" applyBorder="1" applyAlignment="1">
      <alignment horizontal="center" vertical="center" wrapText="1"/>
    </xf>
    <xf numFmtId="2" fontId="1" fillId="0" borderId="60" xfId="8" applyNumberFormat="1" applyBorder="1" applyAlignment="1">
      <alignment horizontal="center" wrapText="1"/>
    </xf>
    <xf numFmtId="2" fontId="1" fillId="0" borderId="61" xfId="8" applyNumberFormat="1" applyBorder="1" applyAlignment="1">
      <alignment horizontal="center" wrapText="1"/>
    </xf>
  </cellXfs>
  <cellStyles count="9">
    <cellStyle name="F2" xfId="1"/>
    <cellStyle name="F3" xfId="2"/>
    <cellStyle name="F4" xfId="3"/>
    <cellStyle name="F5" xfId="4"/>
    <cellStyle name="F6" xfId="5"/>
    <cellStyle name="F7" xfId="6"/>
    <cellStyle name="F8" xfId="7"/>
    <cellStyle name="Normal" xfId="0" builtinId="0"/>
    <cellStyle name="Standard_SMerror2" xf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12"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5.xml"/><Relationship Id="rId5" Type="http://schemas.openxmlformats.org/officeDocument/2006/relationships/chartsheet" Target="chartsheets/sheet2.xml"/><Relationship Id="rId15" Type="http://schemas.openxmlformats.org/officeDocument/2006/relationships/sharedStrings" Target="sharedStrings.xml"/><Relationship Id="rId10" Type="http://schemas.openxmlformats.org/officeDocument/2006/relationships/chartsheet" Target="chartsheets/sheet6.xml"/><Relationship Id="rId4" Type="http://schemas.openxmlformats.org/officeDocument/2006/relationships/chartsheet" Target="chartsheets/sheet1.xml"/><Relationship Id="rId9" Type="http://schemas.openxmlformats.org/officeDocument/2006/relationships/chartsheet" Target="chartsheets/sheet5.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image" Target="../media/image4.jpeg"/></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image" Target="../media/image4.jpe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0.31767337807606288"/>
          <c:y val="4.0584415584415577E-2"/>
        </c:manualLayout>
      </c:layout>
      <c:spPr>
        <a:noFill/>
        <a:ln w="25400">
          <a:noFill/>
        </a:ln>
      </c:spPr>
      <c:txPr>
        <a:bodyPr/>
        <a:lstStyle/>
        <a:p>
          <a:pPr>
            <a:defRPr sz="1600" b="1" i="0" u="none" strike="noStrike" baseline="0">
              <a:solidFill>
                <a:srgbClr val="000000"/>
              </a:solidFill>
              <a:latin typeface="Arial"/>
              <a:ea typeface="Arial"/>
              <a:cs typeface="Arial"/>
            </a:defRPr>
          </a:pPr>
          <a:endParaRPr lang="fr-FR"/>
        </a:p>
      </c:txPr>
    </c:title>
    <c:plotArea>
      <c:layout>
        <c:manualLayout>
          <c:layoutTarget val="inner"/>
          <c:xMode val="edge"/>
          <c:yMode val="edge"/>
          <c:x val="6.7114093959731915E-3"/>
          <c:y val="9.5779220779220797E-2"/>
          <c:w val="0.97874720357942113"/>
          <c:h val="0.87824675324675361"/>
        </c:manualLayout>
      </c:layout>
      <c:scatterChart>
        <c:scatterStyle val="smoothMarker"/>
        <c:ser>
          <c:idx val="0"/>
          <c:order val="0"/>
          <c:tx>
            <c:v>Time Marks</c:v>
          </c:tx>
          <c:spPr>
            <a:ln w="12700">
              <a:solidFill>
                <a:srgbClr val="333399"/>
              </a:solidFill>
              <a:prstDash val="solid"/>
            </a:ln>
          </c:spPr>
          <c:marker>
            <c:symbol val="diamond"/>
            <c:size val="5"/>
            <c:spPr>
              <a:solidFill>
                <a:srgbClr val="33CCCC"/>
              </a:solidFill>
              <a:ln>
                <a:solidFill>
                  <a:srgbClr val="000080"/>
                </a:solidFill>
                <a:prstDash val="solid"/>
              </a:ln>
            </c:spPr>
          </c:marker>
          <c:dLbls>
            <c:delete val="1"/>
          </c:dLbls>
          <c:xVal>
            <c:numRef>
              <c:f>DATA!$E$28:$E$58</c:f>
              <c:numCache>
                <c:formatCode>0.000_)</c:formatCode>
                <c:ptCount val="31"/>
                <c:pt idx="0">
                  <c:v>-1.8860972189973431</c:v>
                </c:pt>
                <c:pt idx="1">
                  <c:v>-1.99402489113146</c:v>
                </c:pt>
                <c:pt idx="2">
                  <c:v>-1.9660630622169069</c:v>
                </c:pt>
                <c:pt idx="3">
                  <c:v>-1.8041172846851032</c:v>
                </c:pt>
                <c:pt idx="4">
                  <c:v>-1.5192238956467903</c:v>
                </c:pt>
                <c:pt idx="5">
                  <c:v>-1.1307979087563431</c:v>
                </c:pt>
                <c:pt idx="6">
                  <c:v>-0.66530991311605203</c:v>
                </c:pt>
                <c:pt idx="7">
                  <c:v>-0.15448214637351854</c:v>
                </c:pt>
                <c:pt idx="8">
                  <c:v>0.36687332335055267</c:v>
                </c:pt>
                <c:pt idx="9">
                  <c:v>0.86322698237511686</c:v>
                </c:pt>
                <c:pt idx="10">
                  <c:v>1.3007531491008548</c:v>
                </c:pt>
                <c:pt idx="11">
                  <c:v>1.6496351383115846</c:v>
                </c:pt>
                <c:pt idx="12">
                  <c:v>1.8860972189973431</c:v>
                </c:pt>
                <c:pt idx="13">
                  <c:v>1.99402489113146</c:v>
                </c:pt>
                <c:pt idx="14">
                  <c:v>1.9660630622169069</c:v>
                </c:pt>
                <c:pt idx="15">
                  <c:v>1.8041172846851035</c:v>
                </c:pt>
                <c:pt idx="16">
                  <c:v>1.8041172846851035</c:v>
                </c:pt>
                <c:pt idx="17">
                  <c:v>1.8041172846851035</c:v>
                </c:pt>
                <c:pt idx="18">
                  <c:v>1.8041172846851035</c:v>
                </c:pt>
                <c:pt idx="19">
                  <c:v>1.8041172846851035</c:v>
                </c:pt>
                <c:pt idx="20">
                  <c:v>1.8041172846851035</c:v>
                </c:pt>
                <c:pt idx="21">
                  <c:v>1.8041172846851035</c:v>
                </c:pt>
                <c:pt idx="22">
                  <c:v>1.8041172846851035</c:v>
                </c:pt>
                <c:pt idx="23">
                  <c:v>1.8041172846851035</c:v>
                </c:pt>
                <c:pt idx="24">
                  <c:v>1.8041172846851035</c:v>
                </c:pt>
                <c:pt idx="25">
                  <c:v>1.8041172846851035</c:v>
                </c:pt>
                <c:pt idx="26">
                  <c:v>1.8041172846851035</c:v>
                </c:pt>
                <c:pt idx="27">
                  <c:v>1.8041172846851035</c:v>
                </c:pt>
                <c:pt idx="28">
                  <c:v>1.8041172846851035</c:v>
                </c:pt>
                <c:pt idx="29">
                  <c:v>1.8041172846851035</c:v>
                </c:pt>
                <c:pt idx="30">
                  <c:v>1.8041172846851035</c:v>
                </c:pt>
              </c:numCache>
            </c:numRef>
          </c:xVal>
          <c:yVal>
            <c:numRef>
              <c:f>DATA!$F$28:$F$58</c:f>
              <c:numCache>
                <c:formatCode>0.000_)</c:formatCode>
                <c:ptCount val="31"/>
                <c:pt idx="0">
                  <c:v>-0.3111130820550298</c:v>
                </c:pt>
                <c:pt idx="1">
                  <c:v>-7.2239141087858741E-2</c:v>
                </c:pt>
                <c:pt idx="2">
                  <c:v>0.17155777796362451</c:v>
                </c:pt>
                <c:pt idx="3">
                  <c:v>0.40366331795951982</c:v>
                </c:pt>
                <c:pt idx="4">
                  <c:v>0.60825986992164771</c:v>
                </c:pt>
                <c:pt idx="5">
                  <c:v>0.77140451694557766</c:v>
                </c:pt>
                <c:pt idx="6">
                  <c:v>0.88197922094590575</c:v>
                </c:pt>
                <c:pt idx="7">
                  <c:v>0.93244849857834777</c:v>
                </c:pt>
                <c:pt idx="8">
                  <c:v>0.91937295197667757</c:v>
                </c:pt>
                <c:pt idx="9">
                  <c:v>0.84364365803343655</c:v>
                </c:pt>
                <c:pt idx="10">
                  <c:v>0.71042144298228127</c:v>
                </c:pt>
                <c:pt idx="11">
                  <c:v>0.52878518061882795</c:v>
                </c:pt>
                <c:pt idx="12">
                  <c:v>0.31111308205502969</c:v>
                </c:pt>
                <c:pt idx="13">
                  <c:v>7.2239141087858852E-2</c:v>
                </c:pt>
                <c:pt idx="14">
                  <c:v>-0.17155777796362442</c:v>
                </c:pt>
                <c:pt idx="15">
                  <c:v>-0.40366331795951971</c:v>
                </c:pt>
                <c:pt idx="16">
                  <c:v>-0.40366331795951971</c:v>
                </c:pt>
                <c:pt idx="17">
                  <c:v>-0.40366331795951971</c:v>
                </c:pt>
                <c:pt idx="18">
                  <c:v>-0.40366331795951971</c:v>
                </c:pt>
                <c:pt idx="19">
                  <c:v>-0.40366331795951971</c:v>
                </c:pt>
                <c:pt idx="20">
                  <c:v>-0.40366331795951971</c:v>
                </c:pt>
                <c:pt idx="21">
                  <c:v>-0.40366331795951971</c:v>
                </c:pt>
                <c:pt idx="22">
                  <c:v>-0.40366331795951971</c:v>
                </c:pt>
                <c:pt idx="23">
                  <c:v>-0.40366331795951971</c:v>
                </c:pt>
                <c:pt idx="24">
                  <c:v>-0.40366331795951971</c:v>
                </c:pt>
                <c:pt idx="25">
                  <c:v>-0.40366331795951971</c:v>
                </c:pt>
                <c:pt idx="26">
                  <c:v>-0.40366331795951971</c:v>
                </c:pt>
                <c:pt idx="27">
                  <c:v>-0.40366331795951971</c:v>
                </c:pt>
                <c:pt idx="28">
                  <c:v>-0.40366331795951971</c:v>
                </c:pt>
                <c:pt idx="29">
                  <c:v>-0.40366331795951971</c:v>
                </c:pt>
                <c:pt idx="30">
                  <c:v>-0.40366331795951971</c:v>
                </c:pt>
              </c:numCache>
            </c:numRef>
          </c:yVal>
          <c:smooth val="1"/>
        </c:ser>
        <c:ser>
          <c:idx val="8"/>
          <c:order val="1"/>
          <c:spPr>
            <a:ln w="25400">
              <a:solidFill>
                <a:srgbClr val="3366FF"/>
              </a:solidFill>
              <a:prstDash val="solid"/>
            </a:ln>
          </c:spPr>
          <c:marker>
            <c:symbol val="circle"/>
            <c:size val="5"/>
            <c:spPr>
              <a:solidFill>
                <a:srgbClr val="FFFF00"/>
              </a:solidFill>
              <a:ln>
                <a:solidFill>
                  <a:srgbClr val="3366FF"/>
                </a:solidFill>
                <a:prstDash val="solid"/>
              </a:ln>
            </c:spPr>
          </c:marker>
          <c:dPt>
            <c:idx val="9"/>
            <c:marker>
              <c:spPr>
                <a:solidFill>
                  <a:srgbClr val="FFFF00"/>
                </a:solidFill>
                <a:ln>
                  <a:solidFill>
                    <a:srgbClr val="800000"/>
                  </a:solidFill>
                  <a:prstDash val="solid"/>
                </a:ln>
              </c:spPr>
            </c:marker>
            <c:spPr>
              <a:ln w="25400">
                <a:solidFill>
                  <a:srgbClr val="993366"/>
                </a:solidFill>
                <a:prstDash val="solid"/>
              </a:ln>
            </c:spPr>
          </c:dPt>
          <c:dPt>
            <c:idx val="10"/>
            <c:marker>
              <c:spPr>
                <a:solidFill>
                  <a:srgbClr val="FFFF00"/>
                </a:solidFill>
                <a:ln>
                  <a:solidFill>
                    <a:srgbClr val="800000"/>
                  </a:solidFill>
                  <a:prstDash val="solid"/>
                </a:ln>
              </c:spPr>
            </c:marker>
            <c:spPr>
              <a:ln w="25400">
                <a:solidFill>
                  <a:srgbClr val="800000"/>
                </a:solidFill>
                <a:prstDash val="solid"/>
              </a:ln>
            </c:spPr>
          </c:dPt>
          <c:dPt>
            <c:idx val="11"/>
            <c:marker>
              <c:spPr>
                <a:solidFill>
                  <a:srgbClr val="FFFF00"/>
                </a:solidFill>
                <a:ln>
                  <a:solidFill>
                    <a:srgbClr val="993300"/>
                  </a:solidFill>
                  <a:prstDash val="solid"/>
                </a:ln>
              </c:spPr>
            </c:marker>
            <c:spPr>
              <a:ln w="25400">
                <a:solidFill>
                  <a:srgbClr val="993300"/>
                </a:solidFill>
                <a:prstDash val="solid"/>
              </a:ln>
            </c:spPr>
          </c:dPt>
          <c:dPt>
            <c:idx val="12"/>
            <c:marker>
              <c:spPr>
                <a:solidFill>
                  <a:srgbClr val="FFFF00"/>
                </a:solidFill>
                <a:ln>
                  <a:solidFill>
                    <a:srgbClr val="993300"/>
                  </a:solidFill>
                  <a:prstDash val="solid"/>
                </a:ln>
              </c:spPr>
            </c:marker>
            <c:spPr>
              <a:ln w="25400">
                <a:solidFill>
                  <a:srgbClr val="993300"/>
                </a:solidFill>
                <a:prstDash val="solid"/>
              </a:ln>
            </c:spPr>
          </c:dPt>
          <c:dPt>
            <c:idx val="13"/>
            <c:marker>
              <c:spPr>
                <a:solidFill>
                  <a:srgbClr val="FFFF00"/>
                </a:solidFill>
                <a:ln>
                  <a:solidFill>
                    <a:srgbClr val="993300"/>
                  </a:solidFill>
                  <a:prstDash val="solid"/>
                </a:ln>
              </c:spPr>
            </c:marker>
            <c:spPr>
              <a:ln w="25400">
                <a:solidFill>
                  <a:srgbClr val="993300"/>
                </a:solidFill>
                <a:prstDash val="solid"/>
              </a:ln>
            </c:spPr>
          </c:dPt>
          <c:dPt>
            <c:idx val="14"/>
            <c:marker>
              <c:spPr>
                <a:solidFill>
                  <a:srgbClr val="FFFF00"/>
                </a:solidFill>
                <a:ln>
                  <a:solidFill>
                    <a:srgbClr val="993300"/>
                  </a:solidFill>
                  <a:prstDash val="solid"/>
                </a:ln>
              </c:spPr>
            </c:marker>
            <c:spPr>
              <a:ln w="25400">
                <a:solidFill>
                  <a:srgbClr val="993300"/>
                </a:solidFill>
                <a:prstDash val="solid"/>
              </a:ln>
            </c:spPr>
          </c:dPt>
          <c:dPt>
            <c:idx val="15"/>
            <c:marker>
              <c:spPr>
                <a:solidFill>
                  <a:srgbClr val="FFFF00"/>
                </a:solidFill>
                <a:ln>
                  <a:solidFill>
                    <a:srgbClr val="993300"/>
                  </a:solidFill>
                  <a:prstDash val="solid"/>
                </a:ln>
              </c:spPr>
            </c:marker>
            <c:spPr>
              <a:ln w="25400">
                <a:solidFill>
                  <a:srgbClr val="993300"/>
                </a:solidFill>
                <a:prstDash val="solid"/>
              </a:ln>
            </c:spPr>
          </c:dPt>
          <c:dLbls>
            <c:delete val="1"/>
          </c:dLbls>
          <c:errBars>
            <c:errDir val="x"/>
            <c:errBarType val="minus"/>
            <c:errValType val="percentage"/>
            <c:val val="100"/>
            <c:spPr>
              <a:ln w="12700">
                <a:solidFill>
                  <a:srgbClr val="800080"/>
                </a:solidFill>
                <a:prstDash val="solid"/>
              </a:ln>
            </c:spPr>
          </c:errBars>
          <c:xVal>
            <c:numRef>
              <c:f>DATA!$F$63:$F$79</c:f>
              <c:numCache>
                <c:formatCode>0.000_)</c:formatCode>
                <c:ptCount val="17"/>
                <c:pt idx="0">
                  <c:v>3.0863751906327962E-2</c:v>
                </c:pt>
                <c:pt idx="1">
                  <c:v>0.11971131020038227</c:v>
                </c:pt>
                <c:pt idx="2">
                  <c:v>0.10799173005763243</c:v>
                </c:pt>
                <c:pt idx="3">
                  <c:v>6.3137472645378639E-2</c:v>
                </c:pt>
                <c:pt idx="4">
                  <c:v>3.4270213419667184E-2</c:v>
                </c:pt>
                <c:pt idx="5">
                  <c:v>-2.5317259552383196E-2</c:v>
                </c:pt>
                <c:pt idx="6">
                  <c:v>-1.9260451791052971E-2</c:v>
                </c:pt>
                <c:pt idx="7">
                  <c:v>1.5089362101401018E-2</c:v>
                </c:pt>
                <c:pt idx="8">
                  <c:v>3.3244298463397763E-2</c:v>
                </c:pt>
                <c:pt idx="9">
                  <c:v>5.5257694241718565E-2</c:v>
                </c:pt>
                <c:pt idx="10">
                  <c:v>2.7030736410430694E-4</c:v>
                </c:pt>
                <c:pt idx="11">
                  <c:v>-6.3177541191315051E-2</c:v>
                </c:pt>
                <c:pt idx="12">
                  <c:v>-8.9821292144996248E-2</c:v>
                </c:pt>
                <c:pt idx="13">
                  <c:v>-0.14316497060970421</c:v>
                </c:pt>
                <c:pt idx="14">
                  <c:v>-9.6025857875305404E-2</c:v>
                </c:pt>
                <c:pt idx="15">
                  <c:v>-1.7194251276516373E-2</c:v>
                </c:pt>
                <c:pt idx="16">
                  <c:v>3.0863751906327962E-2</c:v>
                </c:pt>
              </c:numCache>
            </c:numRef>
          </c:xVal>
          <c:yVal>
            <c:numRef>
              <c:f>DATA!$G$63:$G$79</c:f>
              <c:numCache>
                <c:formatCode>0.000_)</c:formatCode>
                <c:ptCount val="17"/>
                <c:pt idx="0">
                  <c:v>-0.75010650309605309</c:v>
                </c:pt>
                <c:pt idx="1">
                  <c:v>-0.53303151084335931</c:v>
                </c:pt>
                <c:pt idx="2">
                  <c:v>-0.23409353247469095</c:v>
                </c:pt>
                <c:pt idx="3">
                  <c:v>8.6016175890805489E-3</c:v>
                </c:pt>
                <c:pt idx="4">
                  <c:v>0.14173965746864581</c:v>
                </c:pt>
                <c:pt idx="5">
                  <c:v>0.47736000145908242</c:v>
                </c:pt>
                <c:pt idx="6">
                  <c:v>0.71672387265422222</c:v>
                </c:pt>
                <c:pt idx="7">
                  <c:v>0.76644839252787578</c:v>
                </c:pt>
                <c:pt idx="8">
                  <c:v>0.75403981108078588</c:v>
                </c:pt>
                <c:pt idx="9">
                  <c:v>0.57397492352771584</c:v>
                </c:pt>
                <c:pt idx="10">
                  <c:v>0.25598192983973256</c:v>
                </c:pt>
                <c:pt idx="11">
                  <c:v>8.4364816556499762E-3</c:v>
                </c:pt>
                <c:pt idx="12">
                  <c:v>-9.972042901330079E-2</c:v>
                </c:pt>
                <c:pt idx="13">
                  <c:v>-0.4559563236663815</c:v>
                </c:pt>
                <c:pt idx="14">
                  <c:v>-0.70770672544017332</c:v>
                </c:pt>
                <c:pt idx="15">
                  <c:v>-0.76640357612028964</c:v>
                </c:pt>
                <c:pt idx="16" formatCode="0.00">
                  <c:v>-0.75010650309605309</c:v>
                </c:pt>
              </c:numCache>
            </c:numRef>
          </c:yVal>
          <c:smooth val="1"/>
        </c:ser>
        <c:ser>
          <c:idx val="2"/>
          <c:order val="2"/>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dLbls>
            <c:delete val="1"/>
          </c:dLbls>
          <c:xVal>
            <c:numRef>
              <c:f>DATA!$M$28:$M$58</c:f>
              <c:numCache>
                <c:formatCode>0.000_)</c:formatCode>
                <c:ptCount val="31"/>
                <c:pt idx="0">
                  <c:v>-8.8083526985457254</c:v>
                </c:pt>
                <c:pt idx="1">
                  <c:v>-8.8083526985457254</c:v>
                </c:pt>
                <c:pt idx="2">
                  <c:v>-8.8083526985457254</c:v>
                </c:pt>
                <c:pt idx="3">
                  <c:v>-8.8083526985457254</c:v>
                </c:pt>
                <c:pt idx="4">
                  <c:v>-3.8153247072712735</c:v>
                </c:pt>
                <c:pt idx="5">
                  <c:v>-2.0471251720758019</c:v>
                </c:pt>
                <c:pt idx="6">
                  <c:v>-1.0128159796239056</c:v>
                </c:pt>
                <c:pt idx="7">
                  <c:v>-0.21925068279039675</c:v>
                </c:pt>
                <c:pt idx="8">
                  <c:v>0.52998510709840874</c:v>
                </c:pt>
                <c:pt idx="9">
                  <c:v>1.3908232927704576</c:v>
                </c:pt>
                <c:pt idx="10">
                  <c:v>2.6291319573296206</c:v>
                </c:pt>
                <c:pt idx="11">
                  <c:v>5.1060319203269229</c:v>
                </c:pt>
                <c:pt idx="12">
                  <c:v>5.1060319203269229</c:v>
                </c:pt>
                <c:pt idx="13">
                  <c:v>5.1060319203269229</c:v>
                </c:pt>
                <c:pt idx="14">
                  <c:v>5.1060319203269229</c:v>
                </c:pt>
                <c:pt idx="15">
                  <c:v>5.1060319203269229</c:v>
                </c:pt>
                <c:pt idx="16">
                  <c:v>5.1060319203269229</c:v>
                </c:pt>
                <c:pt idx="17">
                  <c:v>5.1060319203269229</c:v>
                </c:pt>
                <c:pt idx="18">
                  <c:v>5.1060319203269229</c:v>
                </c:pt>
                <c:pt idx="19">
                  <c:v>5.1060319203269229</c:v>
                </c:pt>
                <c:pt idx="20">
                  <c:v>5.1060319203269229</c:v>
                </c:pt>
                <c:pt idx="21">
                  <c:v>5.1060319203269229</c:v>
                </c:pt>
                <c:pt idx="22">
                  <c:v>5.1060319203269229</c:v>
                </c:pt>
                <c:pt idx="23">
                  <c:v>5.1060319203269229</c:v>
                </c:pt>
                <c:pt idx="24">
                  <c:v>5.1060319203269229</c:v>
                </c:pt>
                <c:pt idx="25">
                  <c:v>5.1060319203269229</c:v>
                </c:pt>
                <c:pt idx="26">
                  <c:v>5.1060319203269229</c:v>
                </c:pt>
                <c:pt idx="27">
                  <c:v>5.1060319203269229</c:v>
                </c:pt>
                <c:pt idx="28">
                  <c:v>5.1060319203269229</c:v>
                </c:pt>
                <c:pt idx="29">
                  <c:v>5.1060319203269229</c:v>
                </c:pt>
                <c:pt idx="30">
                  <c:v>5.1060319203269229</c:v>
                </c:pt>
              </c:numCache>
            </c:numRef>
          </c:xVal>
          <c:yVal>
            <c:numRef>
              <c:f>DATA!$N$28:$N$58</c:f>
              <c:numCache>
                <c:formatCode>0.000_)</c:formatCode>
                <c:ptCount val="31"/>
                <c:pt idx="0">
                  <c:v>4.5642781065955988</c:v>
                </c:pt>
                <c:pt idx="1">
                  <c:v>4.5642781065955988</c:v>
                </c:pt>
                <c:pt idx="2">
                  <c:v>4.5642781065955988</c:v>
                </c:pt>
                <c:pt idx="3">
                  <c:v>4.5642781065955988</c:v>
                </c:pt>
                <c:pt idx="4">
                  <c:v>2.5371653630162871</c:v>
                </c:pt>
                <c:pt idx="5">
                  <c:v>1.9378134506747344</c:v>
                </c:pt>
                <c:pt idx="6">
                  <c:v>1.6915717055942079</c:v>
                </c:pt>
                <c:pt idx="7">
                  <c:v>1.6034594657577161</c:v>
                </c:pt>
                <c:pt idx="8">
                  <c:v>1.6251220361594887</c:v>
                </c:pt>
                <c:pt idx="9">
                  <c:v>1.7675510052670427</c:v>
                </c:pt>
                <c:pt idx="10">
                  <c:v>2.1181260834393409</c:v>
                </c:pt>
                <c:pt idx="11">
                  <c:v>3.0363648499209503</c:v>
                </c:pt>
                <c:pt idx="12">
                  <c:v>3.0363648499209503</c:v>
                </c:pt>
                <c:pt idx="13">
                  <c:v>3.0363648499209503</c:v>
                </c:pt>
                <c:pt idx="14">
                  <c:v>3.0363648499209503</c:v>
                </c:pt>
                <c:pt idx="15">
                  <c:v>3.0363648499209503</c:v>
                </c:pt>
                <c:pt idx="16">
                  <c:v>3.0363648499209503</c:v>
                </c:pt>
                <c:pt idx="17">
                  <c:v>3.0363648499209503</c:v>
                </c:pt>
                <c:pt idx="18">
                  <c:v>3.0363648499209503</c:v>
                </c:pt>
                <c:pt idx="19">
                  <c:v>3.0363648499209503</c:v>
                </c:pt>
                <c:pt idx="20">
                  <c:v>3.0363648499209503</c:v>
                </c:pt>
                <c:pt idx="21">
                  <c:v>3.0363648499209503</c:v>
                </c:pt>
                <c:pt idx="22">
                  <c:v>3.0363648499209503</c:v>
                </c:pt>
                <c:pt idx="23">
                  <c:v>3.0363648499209503</c:v>
                </c:pt>
                <c:pt idx="24">
                  <c:v>3.0363648499209503</c:v>
                </c:pt>
                <c:pt idx="25">
                  <c:v>3.0363648499209503</c:v>
                </c:pt>
                <c:pt idx="26">
                  <c:v>3.0363648499209503</c:v>
                </c:pt>
                <c:pt idx="27">
                  <c:v>3.0363648499209503</c:v>
                </c:pt>
                <c:pt idx="28">
                  <c:v>3.0363648499209503</c:v>
                </c:pt>
                <c:pt idx="29">
                  <c:v>3.0363648499209503</c:v>
                </c:pt>
                <c:pt idx="30">
                  <c:v>3.0363648499209503</c:v>
                </c:pt>
              </c:numCache>
            </c:numRef>
          </c:yVal>
          <c:smooth val="1"/>
        </c:ser>
        <c:ser>
          <c:idx val="3"/>
          <c:order val="3"/>
          <c:spPr>
            <a:ln w="12700">
              <a:solidFill>
                <a:srgbClr val="00FFFF"/>
              </a:solidFill>
              <a:prstDash val="solid"/>
            </a:ln>
          </c:spPr>
          <c:marker>
            <c:symbol val="x"/>
            <c:size val="5"/>
            <c:spPr>
              <a:noFill/>
              <a:ln>
                <a:solidFill>
                  <a:srgbClr val="00FFFF"/>
                </a:solidFill>
                <a:prstDash val="solid"/>
              </a:ln>
            </c:spPr>
          </c:marker>
          <c:dLbls>
            <c:delete val="1"/>
          </c:dLbls>
          <c:xVal>
            <c:numRef>
              <c:f>DATA!$G$105:$G$109</c:f>
              <c:numCache>
                <c:formatCode>0.000_)</c:formatCode>
                <c:ptCount val="5"/>
                <c:pt idx="0">
                  <c:v>0</c:v>
                </c:pt>
                <c:pt idx="1">
                  <c:v>1.5209995578564786</c:v>
                </c:pt>
                <c:pt idx="2">
                  <c:v>0</c:v>
                </c:pt>
                <c:pt idx="3">
                  <c:v>-1.5209995578564786</c:v>
                </c:pt>
                <c:pt idx="4">
                  <c:v>0</c:v>
                </c:pt>
              </c:numCache>
            </c:numRef>
          </c:xVal>
          <c:yVal>
            <c:numRef>
              <c:f>DATA!$H$105:$H$109</c:f>
              <c:numCache>
                <c:formatCode>0.000_)</c:formatCode>
                <c:ptCount val="5"/>
                <c:pt idx="0">
                  <c:v>-0.76648615652492069</c:v>
                </c:pt>
                <c:pt idx="1">
                  <c:v>0</c:v>
                </c:pt>
                <c:pt idx="2">
                  <c:v>0.76648615652492069</c:v>
                </c:pt>
                <c:pt idx="3">
                  <c:v>0</c:v>
                </c:pt>
                <c:pt idx="4">
                  <c:v>-0.76648615652492069</c:v>
                </c:pt>
              </c:numCache>
            </c:numRef>
          </c:yVal>
        </c:ser>
        <c:ser>
          <c:idx val="4"/>
          <c:order val="4"/>
          <c:tx>
            <c:v>SunriseMark</c:v>
          </c:tx>
          <c:spPr>
            <a:ln w="12700">
              <a:solidFill>
                <a:srgbClr val="008080"/>
              </a:solidFill>
              <a:prstDash val="solid"/>
            </a:ln>
          </c:spPr>
          <c:marker>
            <c:symbol val="diamond"/>
            <c:size val="6"/>
            <c:spPr>
              <a:solidFill>
                <a:srgbClr val="FF9900"/>
              </a:solidFill>
              <a:ln>
                <a:solidFill>
                  <a:srgbClr val="000000"/>
                </a:solidFill>
                <a:prstDash val="solid"/>
              </a:ln>
            </c:spPr>
          </c:marker>
          <c:dLbls>
            <c:spPr>
              <a:noFill/>
              <a:ln w="25400">
                <a:noFill/>
              </a:ln>
            </c:spPr>
            <c:txPr>
              <a:bodyPr rot="-5400000" vert="horz"/>
              <a:lstStyle/>
              <a:p>
                <a:pPr algn="ctr">
                  <a:defRPr sz="800" b="0" i="0" u="none" strike="noStrike" baseline="0">
                    <a:solidFill>
                      <a:srgbClr val="008080"/>
                    </a:solidFill>
                    <a:latin typeface="Arial"/>
                    <a:ea typeface="Arial"/>
                    <a:cs typeface="Arial"/>
                  </a:defRPr>
                </a:pPr>
                <a:endParaRPr lang="fr-FR"/>
              </a:p>
            </c:txPr>
            <c:dLblPos val="t"/>
            <c:showCatName val="1"/>
          </c:dLbls>
          <c:errBars>
            <c:errDir val="y"/>
            <c:errBarType val="minus"/>
            <c:errValType val="fixedVal"/>
            <c:val val="0.1"/>
            <c:spPr>
              <a:ln w="12700">
                <a:solidFill>
                  <a:srgbClr val="000000"/>
                </a:solidFill>
                <a:prstDash val="solid"/>
              </a:ln>
            </c:spPr>
          </c:errBars>
          <c:xVal>
            <c:numRef>
              <c:f>DATA!$D$108</c:f>
              <c:numCache>
                <c:formatCode>0.000_)</c:formatCode>
                <c:ptCount val="1"/>
                <c:pt idx="0">
                  <c:v>1.5209995578564786</c:v>
                </c:pt>
              </c:numCache>
            </c:numRef>
          </c:xVal>
          <c:yVal>
            <c:numRef>
              <c:f>DATA!$K$17</c:f>
              <c:numCache>
                <c:formatCode>0.000_)</c:formatCode>
                <c:ptCount val="1"/>
                <c:pt idx="0">
                  <c:v>0</c:v>
                </c:pt>
              </c:numCache>
            </c:numRef>
          </c:yVal>
          <c:smooth val="1"/>
        </c:ser>
        <c:ser>
          <c:idx val="5"/>
          <c:order val="5"/>
          <c:tx>
            <c:v>SunsetMark</c:v>
          </c:tx>
          <c:spPr>
            <a:ln w="12700">
              <a:solidFill>
                <a:srgbClr val="008080"/>
              </a:solidFill>
              <a:prstDash val="solid"/>
            </a:ln>
          </c:spPr>
          <c:marker>
            <c:symbol val="diamond"/>
            <c:size val="6"/>
            <c:spPr>
              <a:solidFill>
                <a:srgbClr val="FF9900"/>
              </a:solidFill>
              <a:ln>
                <a:solidFill>
                  <a:srgbClr val="800000"/>
                </a:solidFill>
                <a:prstDash val="solid"/>
              </a:ln>
            </c:spPr>
          </c:marker>
          <c:dLbls>
            <c:delete val="1"/>
          </c:dLbls>
          <c:errBars>
            <c:errDir val="y"/>
            <c:errBarType val="minus"/>
            <c:errValType val="fixedVal"/>
            <c:val val="0.1"/>
            <c:spPr>
              <a:ln w="12700">
                <a:solidFill>
                  <a:srgbClr val="000000"/>
                </a:solidFill>
                <a:prstDash val="solid"/>
              </a:ln>
            </c:spPr>
          </c:errBars>
          <c:xVal>
            <c:numRef>
              <c:f>DATA!$G$108</c:f>
              <c:numCache>
                <c:formatCode>0.000_)</c:formatCode>
                <c:ptCount val="1"/>
                <c:pt idx="0">
                  <c:v>-1.5209995578564786</c:v>
                </c:pt>
              </c:numCache>
            </c:numRef>
          </c:xVal>
          <c:yVal>
            <c:numRef>
              <c:f>DATA!$K$17</c:f>
              <c:numCache>
                <c:formatCode>0.000_)</c:formatCode>
                <c:ptCount val="1"/>
                <c:pt idx="0">
                  <c:v>0</c:v>
                </c:pt>
              </c:numCache>
            </c:numRef>
          </c:yVal>
          <c:smooth val="1"/>
        </c:ser>
        <c:ser>
          <c:idx val="6"/>
          <c:order val="6"/>
          <c:tx>
            <c:v>Fusspkt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dLbls>
            <c:delete val="1"/>
          </c:dLbls>
          <c:xVal>
            <c:numRef>
              <c:f>DATA!$K$17</c:f>
              <c:numCache>
                <c:formatCode>0.000_)</c:formatCode>
                <c:ptCount val="1"/>
                <c:pt idx="0">
                  <c:v>0</c:v>
                </c:pt>
              </c:numCache>
            </c:numRef>
          </c:xVal>
          <c:yVal>
            <c:numRef>
              <c:f>DATA!$G$17</c:f>
              <c:numCache>
                <c:formatCode>0.000_)</c:formatCode>
                <c:ptCount val="1"/>
                <c:pt idx="0">
                  <c:v>-0.66800783693067423</c:v>
                </c:pt>
              </c:numCache>
            </c:numRef>
          </c:yVal>
          <c:smooth val="1"/>
        </c:ser>
        <c:ser>
          <c:idx val="7"/>
          <c:order val="7"/>
          <c:tx>
            <c:v>Achsen</c:v>
          </c:tx>
          <c:spPr>
            <a:ln w="12700">
              <a:solidFill>
                <a:srgbClr val="333333"/>
              </a:solidFill>
              <a:prstDash val="solid"/>
            </a:ln>
          </c:spPr>
          <c:marker>
            <c:symbol val="circle"/>
            <c:size val="5"/>
            <c:spPr>
              <a:solidFill>
                <a:srgbClr val="CCFFFF"/>
              </a:solidFill>
              <a:ln>
                <a:solidFill>
                  <a:srgbClr val="000000"/>
                </a:solidFill>
                <a:prstDash val="solid"/>
              </a:ln>
            </c:spPr>
          </c:marker>
          <c:dLbls>
            <c:delete val="1"/>
          </c:dLbls>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0.9352425867154075</c:v>
                </c:pt>
                <c:pt idx="4">
                  <c:v>-0.9352425867154075</c:v>
                </c:pt>
              </c:numCache>
            </c:numRef>
          </c:yVal>
          <c:smooth val="1"/>
        </c:ser>
        <c:dLbls>
          <c:showCatName val="1"/>
        </c:dLbls>
        <c:axId val="73912320"/>
        <c:axId val="73914240"/>
      </c:scatterChart>
      <c:valAx>
        <c:axId val="73912320"/>
        <c:scaling>
          <c:orientation val="minMax"/>
          <c:max val="4"/>
          <c:min val="-4"/>
        </c:scaling>
        <c:delete val="1"/>
        <c:axPos val="b"/>
        <c:numFmt formatCode="0.000_)" sourceLinked="1"/>
        <c:tickLblPos val="none"/>
        <c:crossAx val="73914240"/>
        <c:crosses val="autoZero"/>
        <c:crossBetween val="midCat"/>
      </c:valAx>
      <c:valAx>
        <c:axId val="73914240"/>
        <c:scaling>
          <c:orientation val="minMax"/>
          <c:max val="3"/>
          <c:min val="-2"/>
        </c:scaling>
        <c:delete val="1"/>
        <c:axPos val="l"/>
        <c:numFmt formatCode="0.000_)" sourceLinked="1"/>
        <c:tickLblPos val="none"/>
        <c:crossAx val="73912320"/>
        <c:crosses val="autoZero"/>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protection/>
  <c:chart>
    <c:title>
      <c:tx>
        <c:strRef>
          <c:f>DATA!$B$4</c:f>
          <c:strCache>
            <c:ptCount val="1"/>
            <c:pt idx="0">
              <c:v>Analemmatic Sundial, v. 2.2b</c:v>
            </c:pt>
          </c:strCache>
        </c:strRef>
      </c:tx>
      <c:layout>
        <c:manualLayout>
          <c:xMode val="edge"/>
          <c:yMode val="edge"/>
          <c:x val="6.4583333333333548E-2"/>
          <c:y val="5.0505050505050475E-3"/>
        </c:manualLayout>
      </c:layout>
      <c:spPr>
        <a:noFill/>
        <a:ln w="25400">
          <a:noFill/>
        </a:ln>
      </c:spPr>
      <c:txPr>
        <a:bodyPr/>
        <a:lstStyle/>
        <a:p>
          <a:pPr>
            <a:defRPr sz="1175"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5.387205387205387E-2"/>
          <c:w val="0.92604166666666665"/>
          <c:h val="0.94612794612794548"/>
        </c:manualLayout>
      </c:layout>
      <c:scatterChart>
        <c:scatterStyle val="smoothMarker"/>
        <c:ser>
          <c:idx val="0"/>
          <c:order val="0"/>
          <c:tx>
            <c:v>Hour Ellipse</c:v>
          </c:tx>
          <c:spPr>
            <a:ln w="12700">
              <a:solidFill>
                <a:srgbClr val="000080"/>
              </a:solidFill>
              <a:prstDash val="solid"/>
            </a:ln>
          </c:spPr>
          <c:marker>
            <c:symbol val="diamond"/>
            <c:size val="6"/>
            <c:spPr>
              <a:solidFill>
                <a:srgbClr val="008080"/>
              </a:solidFill>
              <a:ln>
                <a:solidFill>
                  <a:srgbClr val="000080"/>
                </a:solidFill>
                <a:prstDash val="solid"/>
              </a:ln>
            </c:spPr>
          </c:marker>
          <c:dLbls>
            <c:spPr>
              <a:noFill/>
              <a:ln w="25400">
                <a:noFill/>
              </a:ln>
            </c:spPr>
            <c:txPr>
              <a:bodyPr/>
              <a:lstStyle/>
              <a:p>
                <a:pPr algn="l">
                  <a:defRPr sz="975" b="0" i="0" u="none" strike="noStrike" baseline="0">
                    <a:solidFill>
                      <a:srgbClr val="000000"/>
                    </a:solidFill>
                    <a:latin typeface="Arial"/>
                    <a:ea typeface="Arial"/>
                    <a:cs typeface="Arial"/>
                  </a:defRPr>
                </a:pPr>
                <a:endParaRPr lang="fr-FR"/>
              </a:p>
            </c:txPr>
            <c:dLblPos val="r"/>
            <c:showVal val="1"/>
          </c:dLbls>
          <c:xVal>
            <c:numRef>
              <c:f>DATA!$E$28:$E$58</c:f>
              <c:numCache>
                <c:formatCode>0.000_)</c:formatCode>
                <c:ptCount val="31"/>
                <c:pt idx="0">
                  <c:v>-1.8860972189973431</c:v>
                </c:pt>
                <c:pt idx="1">
                  <c:v>-1.99402489113146</c:v>
                </c:pt>
                <c:pt idx="2">
                  <c:v>-1.9660630622169069</c:v>
                </c:pt>
                <c:pt idx="3">
                  <c:v>-1.8041172846851032</c:v>
                </c:pt>
                <c:pt idx="4">
                  <c:v>-1.5192238956467903</c:v>
                </c:pt>
                <c:pt idx="5">
                  <c:v>-1.1307979087563431</c:v>
                </c:pt>
                <c:pt idx="6">
                  <c:v>-0.66530991311605203</c:v>
                </c:pt>
                <c:pt idx="7">
                  <c:v>-0.15448214637351854</c:v>
                </c:pt>
                <c:pt idx="8">
                  <c:v>0.36687332335055267</c:v>
                </c:pt>
                <c:pt idx="9">
                  <c:v>0.86322698237511686</c:v>
                </c:pt>
                <c:pt idx="10">
                  <c:v>1.3007531491008548</c:v>
                </c:pt>
                <c:pt idx="11">
                  <c:v>1.6496351383115846</c:v>
                </c:pt>
                <c:pt idx="12">
                  <c:v>1.8860972189973431</c:v>
                </c:pt>
                <c:pt idx="13">
                  <c:v>1.99402489113146</c:v>
                </c:pt>
                <c:pt idx="14">
                  <c:v>1.9660630622169069</c:v>
                </c:pt>
                <c:pt idx="15">
                  <c:v>1.8041172846851035</c:v>
                </c:pt>
                <c:pt idx="16">
                  <c:v>1.8041172846851035</c:v>
                </c:pt>
                <c:pt idx="17">
                  <c:v>1.8041172846851035</c:v>
                </c:pt>
                <c:pt idx="18">
                  <c:v>1.8041172846851035</c:v>
                </c:pt>
                <c:pt idx="19">
                  <c:v>1.8041172846851035</c:v>
                </c:pt>
                <c:pt idx="20">
                  <c:v>1.8041172846851035</c:v>
                </c:pt>
                <c:pt idx="21">
                  <c:v>1.8041172846851035</c:v>
                </c:pt>
                <c:pt idx="22">
                  <c:v>1.8041172846851035</c:v>
                </c:pt>
                <c:pt idx="23">
                  <c:v>1.8041172846851035</c:v>
                </c:pt>
                <c:pt idx="24">
                  <c:v>1.8041172846851035</c:v>
                </c:pt>
                <c:pt idx="25">
                  <c:v>1.8041172846851035</c:v>
                </c:pt>
                <c:pt idx="26">
                  <c:v>1.8041172846851035</c:v>
                </c:pt>
                <c:pt idx="27">
                  <c:v>1.8041172846851035</c:v>
                </c:pt>
                <c:pt idx="28">
                  <c:v>1.8041172846851035</c:v>
                </c:pt>
                <c:pt idx="29">
                  <c:v>1.8041172846851035</c:v>
                </c:pt>
                <c:pt idx="30">
                  <c:v>1.8041172846851035</c:v>
                </c:pt>
              </c:numCache>
            </c:numRef>
          </c:xVal>
          <c:yVal>
            <c:numRef>
              <c:f>DATA!$F$28:$F$58</c:f>
              <c:numCache>
                <c:formatCode>0.000_)</c:formatCode>
                <c:ptCount val="31"/>
                <c:pt idx="0">
                  <c:v>-0.3111130820550298</c:v>
                </c:pt>
                <c:pt idx="1">
                  <c:v>-7.2239141087858741E-2</c:v>
                </c:pt>
                <c:pt idx="2">
                  <c:v>0.17155777796362451</c:v>
                </c:pt>
                <c:pt idx="3">
                  <c:v>0.40366331795951982</c:v>
                </c:pt>
                <c:pt idx="4">
                  <c:v>0.60825986992164771</c:v>
                </c:pt>
                <c:pt idx="5">
                  <c:v>0.77140451694557766</c:v>
                </c:pt>
                <c:pt idx="6">
                  <c:v>0.88197922094590575</c:v>
                </c:pt>
                <c:pt idx="7">
                  <c:v>0.93244849857834777</c:v>
                </c:pt>
                <c:pt idx="8">
                  <c:v>0.91937295197667757</c:v>
                </c:pt>
                <c:pt idx="9">
                  <c:v>0.84364365803343655</c:v>
                </c:pt>
                <c:pt idx="10">
                  <c:v>0.71042144298228127</c:v>
                </c:pt>
                <c:pt idx="11">
                  <c:v>0.52878518061882795</c:v>
                </c:pt>
                <c:pt idx="12">
                  <c:v>0.31111308205502969</c:v>
                </c:pt>
                <c:pt idx="13">
                  <c:v>7.2239141087858852E-2</c:v>
                </c:pt>
                <c:pt idx="14">
                  <c:v>-0.17155777796362442</c:v>
                </c:pt>
                <c:pt idx="15">
                  <c:v>-0.40366331795951971</c:v>
                </c:pt>
                <c:pt idx="16">
                  <c:v>-0.40366331795951971</c:v>
                </c:pt>
                <c:pt idx="17">
                  <c:v>-0.40366331795951971</c:v>
                </c:pt>
                <c:pt idx="18">
                  <c:v>-0.40366331795951971</c:v>
                </c:pt>
                <c:pt idx="19">
                  <c:v>-0.40366331795951971</c:v>
                </c:pt>
                <c:pt idx="20">
                  <c:v>-0.40366331795951971</c:v>
                </c:pt>
                <c:pt idx="21">
                  <c:v>-0.40366331795951971</c:v>
                </c:pt>
                <c:pt idx="22">
                  <c:v>-0.40366331795951971</c:v>
                </c:pt>
                <c:pt idx="23">
                  <c:v>-0.40366331795951971</c:v>
                </c:pt>
                <c:pt idx="24">
                  <c:v>-0.40366331795951971</c:v>
                </c:pt>
                <c:pt idx="25">
                  <c:v>-0.40366331795951971</c:v>
                </c:pt>
                <c:pt idx="26">
                  <c:v>-0.40366331795951971</c:v>
                </c:pt>
                <c:pt idx="27">
                  <c:v>-0.40366331795951971</c:v>
                </c:pt>
                <c:pt idx="28">
                  <c:v>-0.40366331795951971</c:v>
                </c:pt>
                <c:pt idx="29">
                  <c:v>-0.40366331795951971</c:v>
                </c:pt>
                <c:pt idx="30">
                  <c:v>-0.40366331795951971</c:v>
                </c:pt>
              </c:numCache>
            </c:numRef>
          </c:yVal>
          <c:smooth val="1"/>
        </c:ser>
        <c:ser>
          <c:idx val="1"/>
          <c:order val="1"/>
          <c:tx>
            <c:v>Zodiac</c:v>
          </c:tx>
          <c:spPr>
            <a:ln w="12700">
              <a:solidFill>
                <a:srgbClr val="993300"/>
              </a:solidFill>
              <a:prstDash val="solid"/>
            </a:ln>
          </c:spPr>
          <c:marker>
            <c:symbol val="diamond"/>
            <c:size val="6"/>
            <c:spPr>
              <a:solidFill>
                <a:srgbClr val="993300"/>
              </a:solidFill>
              <a:ln>
                <a:solidFill>
                  <a:srgbClr val="000000"/>
                </a:solidFill>
                <a:prstDash val="solid"/>
              </a:ln>
            </c:spPr>
          </c:marker>
          <c:dLbls>
            <c:dLbl>
              <c:idx val="3"/>
              <c:delete val="1"/>
            </c:dLbl>
            <c:dLbl>
              <c:idx val="7"/>
              <c:layout>
                <c:manualLayout>
                  <c:x val="-1.7574365704288005E-4"/>
                  <c:y val="4.2149579787374762E-2"/>
                </c:manualLayout>
              </c:layout>
              <c:dLblPos val="r"/>
              <c:showVal val="1"/>
            </c:dLbl>
            <c:spPr>
              <a:noFill/>
              <a:ln w="25400">
                <a:noFill/>
              </a:ln>
            </c:spPr>
            <c:txPr>
              <a:bodyPr/>
              <a:lstStyle/>
              <a:p>
                <a:pPr>
                  <a:defRPr sz="975" b="0" i="0" u="none" strike="noStrike" baseline="0">
                    <a:solidFill>
                      <a:srgbClr val="800000"/>
                    </a:solidFill>
                    <a:latin typeface="Arial"/>
                    <a:ea typeface="Arial"/>
                    <a:cs typeface="Arial"/>
                  </a:defRPr>
                </a:pPr>
                <a:endParaRPr lang="fr-FR"/>
              </a:p>
            </c:txPr>
            <c:showVal val="1"/>
          </c:dLbls>
          <c:errBars>
            <c:errDir val="x"/>
            <c:errBarType val="minus"/>
            <c:errValType val="percentage"/>
            <c:val val="100"/>
            <c:spPr>
              <a:ln w="12700">
                <a:solidFill>
                  <a:srgbClr val="000000"/>
                </a:solidFill>
                <a:prstDash val="solid"/>
              </a:ln>
            </c:spPr>
          </c:errBars>
          <c:xVal>
            <c:numRef>
              <c:f>DATA!$I$71:$I$78</c:f>
              <c:numCache>
                <c:formatCode>0.00</c:formatCode>
                <c:ptCount val="8"/>
                <c:pt idx="0">
                  <c:v>0.15</c:v>
                </c:pt>
                <c:pt idx="1">
                  <c:v>0.15</c:v>
                </c:pt>
                <c:pt idx="2">
                  <c:v>0.15</c:v>
                </c:pt>
                <c:pt idx="3">
                  <c:v>0.15</c:v>
                </c:pt>
                <c:pt idx="4">
                  <c:v>0.15</c:v>
                </c:pt>
                <c:pt idx="5">
                  <c:v>0.15</c:v>
                </c:pt>
                <c:pt idx="6">
                  <c:v>0.15</c:v>
                </c:pt>
                <c:pt idx="7">
                  <c:v>0.15</c:v>
                </c:pt>
              </c:numCache>
            </c:numRef>
          </c:xVal>
          <c:yVal>
            <c:numRef>
              <c:f>DATA!$G$71:$G$78</c:f>
              <c:numCache>
                <c:formatCode>0.000_)</c:formatCode>
                <c:ptCount val="8"/>
                <c:pt idx="0">
                  <c:v>0.75403981108078588</c:v>
                </c:pt>
                <c:pt idx="1">
                  <c:v>0.57397492352771584</c:v>
                </c:pt>
                <c:pt idx="2">
                  <c:v>0.25598192983973256</c:v>
                </c:pt>
                <c:pt idx="3">
                  <c:v>8.4364816556499762E-3</c:v>
                </c:pt>
                <c:pt idx="4">
                  <c:v>-9.972042901330079E-2</c:v>
                </c:pt>
                <c:pt idx="5">
                  <c:v>-0.4559563236663815</c:v>
                </c:pt>
                <c:pt idx="6">
                  <c:v>-0.70770672544017332</c:v>
                </c:pt>
                <c:pt idx="7">
                  <c:v>-0.76640357612028964</c:v>
                </c:pt>
              </c:numCache>
            </c:numRef>
          </c:yVal>
        </c:ser>
        <c:ser>
          <c:idx val="2"/>
          <c:order val="2"/>
          <c:tx>
            <c:v>Declination Line</c:v>
          </c:tx>
          <c:spPr>
            <a:ln w="12700">
              <a:solidFill>
                <a:srgbClr val="FFFF00"/>
              </a:solidFill>
              <a:prstDash val="solid"/>
            </a:ln>
          </c:spPr>
          <c:marker>
            <c:symbol val="triangle"/>
            <c:size val="5"/>
            <c:spPr>
              <a:solidFill>
                <a:srgbClr val="FFFF00"/>
              </a:solidFill>
              <a:ln>
                <a:solidFill>
                  <a:srgbClr val="FFFF00"/>
                </a:solidFill>
                <a:prstDash val="solid"/>
              </a:ln>
              <a:effectLst>
                <a:outerShdw dist="35921" dir="2700000" algn="br">
                  <a:srgbClr val="000000"/>
                </a:outerShdw>
              </a:effectLst>
            </c:spPr>
          </c:marker>
          <c:xVal>
            <c:numRef>
              <c:f>DATA!$M$28:$M$58</c:f>
              <c:numCache>
                <c:formatCode>0.000_)</c:formatCode>
                <c:ptCount val="31"/>
                <c:pt idx="0">
                  <c:v>-8.8083526985457254</c:v>
                </c:pt>
                <c:pt idx="1">
                  <c:v>-8.8083526985457254</c:v>
                </c:pt>
                <c:pt idx="2">
                  <c:v>-8.8083526985457254</c:v>
                </c:pt>
                <c:pt idx="3">
                  <c:v>-8.8083526985457254</c:v>
                </c:pt>
                <c:pt idx="4">
                  <c:v>-3.8153247072712735</c:v>
                </c:pt>
                <c:pt idx="5">
                  <c:v>-2.0471251720758019</c:v>
                </c:pt>
                <c:pt idx="6">
                  <c:v>-1.0128159796239056</c:v>
                </c:pt>
                <c:pt idx="7">
                  <c:v>-0.21925068279039675</c:v>
                </c:pt>
                <c:pt idx="8">
                  <c:v>0.52998510709840874</c:v>
                </c:pt>
                <c:pt idx="9">
                  <c:v>1.3908232927704576</c:v>
                </c:pt>
                <c:pt idx="10">
                  <c:v>2.6291319573296206</c:v>
                </c:pt>
                <c:pt idx="11">
                  <c:v>5.1060319203269229</c:v>
                </c:pt>
                <c:pt idx="12">
                  <c:v>5.1060319203269229</c:v>
                </c:pt>
                <c:pt idx="13">
                  <c:v>5.1060319203269229</c:v>
                </c:pt>
                <c:pt idx="14">
                  <c:v>5.1060319203269229</c:v>
                </c:pt>
                <c:pt idx="15">
                  <c:v>5.1060319203269229</c:v>
                </c:pt>
                <c:pt idx="16">
                  <c:v>5.1060319203269229</c:v>
                </c:pt>
                <c:pt idx="17">
                  <c:v>5.1060319203269229</c:v>
                </c:pt>
                <c:pt idx="18">
                  <c:v>5.1060319203269229</c:v>
                </c:pt>
                <c:pt idx="19">
                  <c:v>5.1060319203269229</c:v>
                </c:pt>
                <c:pt idx="20">
                  <c:v>5.1060319203269229</c:v>
                </c:pt>
                <c:pt idx="21">
                  <c:v>5.1060319203269229</c:v>
                </c:pt>
                <c:pt idx="22">
                  <c:v>5.1060319203269229</c:v>
                </c:pt>
                <c:pt idx="23">
                  <c:v>5.1060319203269229</c:v>
                </c:pt>
                <c:pt idx="24">
                  <c:v>5.1060319203269229</c:v>
                </c:pt>
                <c:pt idx="25">
                  <c:v>5.1060319203269229</c:v>
                </c:pt>
                <c:pt idx="26">
                  <c:v>5.1060319203269229</c:v>
                </c:pt>
                <c:pt idx="27">
                  <c:v>5.1060319203269229</c:v>
                </c:pt>
                <c:pt idx="28">
                  <c:v>5.1060319203269229</c:v>
                </c:pt>
                <c:pt idx="29">
                  <c:v>5.1060319203269229</c:v>
                </c:pt>
                <c:pt idx="30">
                  <c:v>5.1060319203269229</c:v>
                </c:pt>
              </c:numCache>
            </c:numRef>
          </c:xVal>
          <c:yVal>
            <c:numRef>
              <c:f>DATA!$N$28:$N$58</c:f>
              <c:numCache>
                <c:formatCode>0.000_)</c:formatCode>
                <c:ptCount val="31"/>
                <c:pt idx="0">
                  <c:v>4.5642781065955988</c:v>
                </c:pt>
                <c:pt idx="1">
                  <c:v>4.5642781065955988</c:v>
                </c:pt>
                <c:pt idx="2">
                  <c:v>4.5642781065955988</c:v>
                </c:pt>
                <c:pt idx="3">
                  <c:v>4.5642781065955988</c:v>
                </c:pt>
                <c:pt idx="4">
                  <c:v>2.5371653630162871</c:v>
                </c:pt>
                <c:pt idx="5">
                  <c:v>1.9378134506747344</c:v>
                </c:pt>
                <c:pt idx="6">
                  <c:v>1.6915717055942079</c:v>
                </c:pt>
                <c:pt idx="7">
                  <c:v>1.6034594657577161</c:v>
                </c:pt>
                <c:pt idx="8">
                  <c:v>1.6251220361594887</c:v>
                </c:pt>
                <c:pt idx="9">
                  <c:v>1.7675510052670427</c:v>
                </c:pt>
                <c:pt idx="10">
                  <c:v>2.1181260834393409</c:v>
                </c:pt>
                <c:pt idx="11">
                  <c:v>3.0363648499209503</c:v>
                </c:pt>
                <c:pt idx="12">
                  <c:v>3.0363648499209503</c:v>
                </c:pt>
                <c:pt idx="13">
                  <c:v>3.0363648499209503</c:v>
                </c:pt>
                <c:pt idx="14">
                  <c:v>3.0363648499209503</c:v>
                </c:pt>
                <c:pt idx="15">
                  <c:v>3.0363648499209503</c:v>
                </c:pt>
                <c:pt idx="16">
                  <c:v>3.0363648499209503</c:v>
                </c:pt>
                <c:pt idx="17">
                  <c:v>3.0363648499209503</c:v>
                </c:pt>
                <c:pt idx="18">
                  <c:v>3.0363648499209503</c:v>
                </c:pt>
                <c:pt idx="19">
                  <c:v>3.0363648499209503</c:v>
                </c:pt>
                <c:pt idx="20">
                  <c:v>3.0363648499209503</c:v>
                </c:pt>
                <c:pt idx="21">
                  <c:v>3.0363648499209503</c:v>
                </c:pt>
                <c:pt idx="22">
                  <c:v>3.0363648499209503</c:v>
                </c:pt>
                <c:pt idx="23">
                  <c:v>3.0363648499209503</c:v>
                </c:pt>
                <c:pt idx="24">
                  <c:v>3.0363648499209503</c:v>
                </c:pt>
                <c:pt idx="25">
                  <c:v>3.0363648499209503</c:v>
                </c:pt>
                <c:pt idx="26">
                  <c:v>3.0363648499209503</c:v>
                </c:pt>
                <c:pt idx="27">
                  <c:v>3.0363648499209503</c:v>
                </c:pt>
                <c:pt idx="28">
                  <c:v>3.0363648499209503</c:v>
                </c:pt>
                <c:pt idx="29">
                  <c:v>3.0363648499209503</c:v>
                </c:pt>
                <c:pt idx="30">
                  <c:v>3.0363648499209503</c:v>
                </c:pt>
              </c:numCache>
            </c:numRef>
          </c:yVal>
          <c:smooth val="1"/>
        </c:ser>
        <c:ser>
          <c:idx val="3"/>
          <c:order val="3"/>
          <c:tx>
            <c:v>SunriseMarker</c:v>
          </c:tx>
          <c:spPr>
            <a:ln w="12700">
              <a:solidFill>
                <a:srgbClr val="80000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DATA!$G$106</c:f>
              <c:numCache>
                <c:formatCode>0.000_)</c:formatCode>
                <c:ptCount val="1"/>
                <c:pt idx="0">
                  <c:v>1.5209995578564786</c:v>
                </c:pt>
              </c:numCache>
            </c:numRef>
          </c:xVal>
          <c:yVal>
            <c:numRef>
              <c:f>DATA!$H$106</c:f>
              <c:numCache>
                <c:formatCode>0.000_)</c:formatCode>
                <c:ptCount val="1"/>
                <c:pt idx="0">
                  <c:v>0</c:v>
                </c:pt>
              </c:numCache>
            </c:numRef>
          </c:yVal>
        </c:ser>
        <c:ser>
          <c:idx val="4"/>
          <c:order val="4"/>
          <c:tx>
            <c:v>SunsetMark</c:v>
          </c:tx>
          <c:spPr>
            <a:ln w="12700">
              <a:solidFill>
                <a:srgbClr val="800080"/>
              </a:solidFill>
              <a:prstDash val="solid"/>
            </a:ln>
          </c:spPr>
          <c:marker>
            <c:symbol val="diamond"/>
            <c:size val="7"/>
            <c:spPr>
              <a:solidFill>
                <a:srgbClr val="FFFF00"/>
              </a:solidFill>
              <a:ln>
                <a:solidFill>
                  <a:srgbClr val="800000"/>
                </a:solidFill>
                <a:prstDash val="solid"/>
              </a:ln>
            </c:spPr>
          </c:marker>
          <c:errBars>
            <c:errDir val="y"/>
            <c:errBarType val="plus"/>
            <c:errValType val="fixedVal"/>
            <c:val val="0.1"/>
            <c:spPr>
              <a:ln w="12700">
                <a:solidFill>
                  <a:srgbClr val="000000"/>
                </a:solidFill>
                <a:prstDash val="solid"/>
              </a:ln>
            </c:spPr>
          </c:errBars>
          <c:xVal>
            <c:numRef>
              <c:f>DATA!$G$108</c:f>
              <c:numCache>
                <c:formatCode>0.000_)</c:formatCode>
                <c:ptCount val="1"/>
                <c:pt idx="0">
                  <c:v>-1.5209995578564786</c:v>
                </c:pt>
              </c:numCache>
            </c:numRef>
          </c:xVal>
          <c:yVal>
            <c:numRef>
              <c:f>DATA!$H$108</c:f>
              <c:numCache>
                <c:formatCode>0.000_)</c:formatCode>
                <c:ptCount val="1"/>
                <c:pt idx="0">
                  <c:v>0</c:v>
                </c:pt>
              </c:numCache>
            </c:numRef>
          </c:yVal>
          <c:smooth val="1"/>
        </c:ser>
        <c:ser>
          <c:idx val="5"/>
          <c:order val="5"/>
          <c:tx>
            <c:v>Zodiaclinks</c:v>
          </c:tx>
          <c:spPr>
            <a:ln w="12700">
              <a:solidFill>
                <a:srgbClr val="808080"/>
              </a:solidFill>
              <a:prstDash val="solid"/>
            </a:ln>
          </c:spPr>
          <c:marker>
            <c:symbol val="diamond"/>
            <c:size val="6"/>
            <c:spPr>
              <a:solidFill>
                <a:srgbClr val="0000FF"/>
              </a:solidFill>
              <a:ln>
                <a:solidFill>
                  <a:srgbClr val="000000"/>
                </a:solidFill>
                <a:prstDash val="solid"/>
              </a:ln>
            </c:spPr>
          </c:marker>
          <c:dLbls>
            <c:dLbl>
              <c:idx val="3"/>
              <c:delete val="1"/>
            </c:dLbl>
            <c:dLbl>
              <c:idx val="7"/>
              <c:layout>
                <c:manualLayout>
                  <c:x val="-5.5032589676290482E-2"/>
                  <c:y val="-5.1321791846726458E-2"/>
                </c:manualLayout>
              </c:layout>
              <c:dLblPos val="r"/>
              <c:showVal val="1"/>
            </c:dLbl>
            <c:spPr>
              <a:noFill/>
              <a:ln w="25400">
                <a:noFill/>
              </a:ln>
            </c:spPr>
            <c:txPr>
              <a:bodyPr/>
              <a:lstStyle/>
              <a:p>
                <a:pPr algn="l">
                  <a:defRPr sz="975" b="0" i="0" u="none" strike="noStrike" baseline="0">
                    <a:solidFill>
                      <a:srgbClr val="333399"/>
                    </a:solidFill>
                    <a:latin typeface="Arial"/>
                    <a:ea typeface="Arial"/>
                    <a:cs typeface="Arial"/>
                  </a:defRPr>
                </a:pPr>
                <a:endParaRPr lang="fr-FR"/>
              </a:p>
            </c:txPr>
            <c:dLblPos val="l"/>
            <c:showVal val="1"/>
          </c:dLbls>
          <c:errBars>
            <c:errDir val="x"/>
            <c:errBarType val="minus"/>
            <c:errValType val="percentage"/>
            <c:val val="100"/>
            <c:spPr>
              <a:ln w="12700">
                <a:solidFill>
                  <a:srgbClr val="000000"/>
                </a:solidFill>
                <a:prstDash val="solid"/>
              </a:ln>
            </c:spPr>
          </c:errBars>
          <c:xVal>
            <c:numRef>
              <c:f>DATA!$I$63:$I$70</c:f>
              <c:numCache>
                <c:formatCode>0.00</c:formatCode>
                <c:ptCount val="8"/>
                <c:pt idx="0">
                  <c:v>-0.15</c:v>
                </c:pt>
                <c:pt idx="1">
                  <c:v>-0.15</c:v>
                </c:pt>
                <c:pt idx="2">
                  <c:v>-0.15</c:v>
                </c:pt>
                <c:pt idx="3">
                  <c:v>-0.15</c:v>
                </c:pt>
                <c:pt idx="4">
                  <c:v>-0.15</c:v>
                </c:pt>
                <c:pt idx="5">
                  <c:v>-0.15</c:v>
                </c:pt>
                <c:pt idx="6">
                  <c:v>-0.15</c:v>
                </c:pt>
                <c:pt idx="7">
                  <c:v>-0.15</c:v>
                </c:pt>
              </c:numCache>
            </c:numRef>
          </c:xVal>
          <c:yVal>
            <c:numRef>
              <c:f>DATA!$G$63:$G$70</c:f>
              <c:numCache>
                <c:formatCode>0.000_)</c:formatCode>
                <c:ptCount val="8"/>
                <c:pt idx="0">
                  <c:v>-0.75010650309605309</c:v>
                </c:pt>
                <c:pt idx="1">
                  <c:v>-0.53303151084335931</c:v>
                </c:pt>
                <c:pt idx="2">
                  <c:v>-0.23409353247469095</c:v>
                </c:pt>
                <c:pt idx="3">
                  <c:v>8.6016175890805489E-3</c:v>
                </c:pt>
                <c:pt idx="4">
                  <c:v>0.14173965746864581</c:v>
                </c:pt>
                <c:pt idx="5">
                  <c:v>0.47736000145908242</c:v>
                </c:pt>
                <c:pt idx="6">
                  <c:v>0.71672387265422222</c:v>
                </c:pt>
                <c:pt idx="7">
                  <c:v>0.76644839252787578</c:v>
                </c:pt>
              </c:numCache>
            </c:numRef>
          </c:yVal>
        </c:ser>
        <c:ser>
          <c:idx val="6"/>
          <c:order val="6"/>
          <c:tx>
            <c:v>Standpunkt</c:v>
          </c:tx>
          <c:spPr>
            <a:ln w="12700">
              <a:solidFill>
                <a:srgbClr val="008080"/>
              </a:solidFill>
              <a:prstDash val="solid"/>
            </a:ln>
          </c:spPr>
          <c:marker>
            <c:symbol val="triangle"/>
            <c:size val="7"/>
            <c:spPr>
              <a:solidFill>
                <a:srgbClr val="FFFF00"/>
              </a:solidFill>
              <a:ln>
                <a:solidFill>
                  <a:srgbClr val="000000"/>
                </a:solidFill>
                <a:prstDash val="solid"/>
              </a:ln>
              <a:effectLst>
                <a:outerShdw dist="35921" dir="2700000" algn="br">
                  <a:srgbClr val="000000"/>
                </a:outerShdw>
              </a:effectLst>
            </c:spPr>
          </c:marker>
          <c:errBars>
            <c:errDir val="x"/>
            <c:errBarType val="both"/>
            <c:errValType val="fixedVal"/>
            <c:val val="0.1"/>
            <c:spPr>
              <a:ln w="12700">
                <a:solidFill>
                  <a:srgbClr val="000000"/>
                </a:solidFill>
                <a:prstDash val="solid"/>
              </a:ln>
            </c:spPr>
          </c:errBars>
          <c:xVal>
            <c:numRef>
              <c:f>DATA!$K$17</c:f>
              <c:numCache>
                <c:formatCode>0.000_)</c:formatCode>
                <c:ptCount val="1"/>
                <c:pt idx="0">
                  <c:v>0</c:v>
                </c:pt>
              </c:numCache>
            </c:numRef>
          </c:xVal>
          <c:yVal>
            <c:numRef>
              <c:f>DATA!$G$17</c:f>
              <c:numCache>
                <c:formatCode>0.000_)</c:formatCode>
                <c:ptCount val="1"/>
                <c:pt idx="0">
                  <c:v>-0.66800783693067423</c:v>
                </c:pt>
              </c:numCache>
            </c:numRef>
          </c:yVal>
          <c:smooth val="1"/>
        </c:ser>
        <c:ser>
          <c:idx val="7"/>
          <c:order val="7"/>
          <c:tx>
            <c:v>Achsen</c:v>
          </c:tx>
          <c:spPr>
            <a:ln w="12700">
              <a:solidFill>
                <a:srgbClr val="000000"/>
              </a:solidFill>
              <a:prstDash val="solid"/>
            </a:ln>
          </c:spPr>
          <c:marker>
            <c:symbol val="circle"/>
            <c:size val="5"/>
            <c:spPr>
              <a:solidFill>
                <a:srgbClr val="CCFFFF"/>
              </a:solidFill>
              <a:ln>
                <a:solidFill>
                  <a:srgbClr val="000000"/>
                </a:solidFill>
                <a:prstDash val="solid"/>
              </a:ln>
            </c:spPr>
          </c:marker>
          <c:xVal>
            <c:numRef>
              <c:f>DATA!$J$96:$J$100</c:f>
              <c:numCache>
                <c:formatCode>0.000_)</c:formatCode>
                <c:ptCount val="5"/>
                <c:pt idx="0">
                  <c:v>2</c:v>
                </c:pt>
                <c:pt idx="1">
                  <c:v>-2</c:v>
                </c:pt>
                <c:pt idx="3">
                  <c:v>0</c:v>
                </c:pt>
                <c:pt idx="4">
                  <c:v>0</c:v>
                </c:pt>
              </c:numCache>
            </c:numRef>
          </c:xVal>
          <c:yVal>
            <c:numRef>
              <c:f>DATA!$K$96:$K$100</c:f>
              <c:numCache>
                <c:formatCode>0.000_)</c:formatCode>
                <c:ptCount val="5"/>
                <c:pt idx="0">
                  <c:v>0</c:v>
                </c:pt>
                <c:pt idx="1">
                  <c:v>0</c:v>
                </c:pt>
                <c:pt idx="3">
                  <c:v>0.9352425867154075</c:v>
                </c:pt>
                <c:pt idx="4">
                  <c:v>-0.9352425867154075</c:v>
                </c:pt>
              </c:numCache>
            </c:numRef>
          </c:yVal>
          <c:smooth val="1"/>
        </c:ser>
        <c:ser>
          <c:idx val="8"/>
          <c:order val="8"/>
          <c:tx>
            <c:v>Schattengrenze</c:v>
          </c:tx>
          <c:spPr>
            <a:ln w="12700">
              <a:solidFill>
                <a:srgbClr val="FF0000"/>
              </a:solidFill>
              <a:prstDash val="solid"/>
            </a:ln>
          </c:spPr>
          <c:marker>
            <c:symbol val="dash"/>
            <c:size val="5"/>
            <c:spPr>
              <a:noFill/>
              <a:ln>
                <a:solidFill>
                  <a:srgbClr val="00CCFF"/>
                </a:solidFill>
                <a:prstDash val="solid"/>
              </a:ln>
            </c:spPr>
          </c:marker>
          <c:xVal>
            <c:numRef>
              <c:f>DATA!$E$111:$E$112</c:f>
              <c:numCache>
                <c:formatCode>0.000_)</c:formatCode>
                <c:ptCount val="2"/>
                <c:pt idx="0">
                  <c:v>-4</c:v>
                </c:pt>
                <c:pt idx="1">
                  <c:v>4</c:v>
                </c:pt>
              </c:numCache>
            </c:numRef>
          </c:xVal>
          <c:yVal>
            <c:numRef>
              <c:f>DATA!$D$111:$D$112</c:f>
              <c:numCache>
                <c:formatCode>0.000_)</c:formatCode>
                <c:ptCount val="2"/>
                <c:pt idx="0">
                  <c:v>100</c:v>
                </c:pt>
                <c:pt idx="1">
                  <c:v>100</c:v>
                </c:pt>
              </c:numCache>
            </c:numRef>
          </c:yVal>
          <c:smooth val="1"/>
        </c:ser>
        <c:axId val="75418240"/>
        <c:axId val="75883264"/>
      </c:scatterChart>
      <c:valAx>
        <c:axId val="75418240"/>
        <c:scaling>
          <c:orientation val="minMax"/>
          <c:max val="4"/>
          <c:min val="-4"/>
        </c:scaling>
        <c:axPos val="b"/>
        <c:numFmt formatCode="0.0" sourceLinked="0"/>
        <c:majorTickMark val="cross"/>
        <c:minorTickMark val="in"/>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fr-FR"/>
          </a:p>
        </c:txPr>
        <c:crossAx val="75883264"/>
        <c:crosses val="autoZero"/>
        <c:crossBetween val="midCat"/>
        <c:majorUnit val="0.5"/>
      </c:valAx>
      <c:valAx>
        <c:axId val="75883264"/>
        <c:scaling>
          <c:orientation val="minMax"/>
          <c:max val="3"/>
          <c:min val="-2"/>
        </c:scaling>
        <c:axPos val="l"/>
        <c:numFmt formatCode="0.000_)" sourceLinked="1"/>
        <c:majorTickMark val="cross"/>
        <c:minorTickMark val="out"/>
        <c:tickLblPos val="none"/>
        <c:spPr>
          <a:ln w="3175">
            <a:solidFill>
              <a:srgbClr val="000000"/>
            </a:solidFill>
            <a:prstDash val="solid"/>
          </a:ln>
        </c:spPr>
        <c:crossAx val="75418240"/>
        <c:crosses val="autoZero"/>
        <c:crossBetween val="midCat"/>
      </c:valAx>
      <c:spPr>
        <a:solidFill>
          <a:srgbClr val="C0C0C0"/>
        </a:solidFill>
        <a:ln w="12700">
          <a:solidFill>
            <a:srgbClr val="808080"/>
          </a:solidFill>
          <a:prstDash val="solid"/>
        </a:ln>
      </c:spPr>
    </c:plotArea>
    <c:plotVisOnly val="1"/>
    <c:dispBlanksAs val="gap"/>
  </c:chart>
  <c:spPr>
    <a:no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775" b="1" i="0" u="none" strike="noStrike" baseline="0">
                <a:solidFill>
                  <a:srgbClr val="000000"/>
                </a:solidFill>
                <a:latin typeface="Arial"/>
                <a:ea typeface="Arial"/>
                <a:cs typeface="Arial"/>
              </a:defRPr>
            </a:pPr>
            <a:r>
              <a:rPr lang="fr-FR"/>
              <a:t>Sunrise Marker Correction Epicycle</a:t>
            </a:r>
          </a:p>
        </c:rich>
      </c:tx>
      <c:layout>
        <c:manualLayout>
          <c:xMode val="edge"/>
          <c:yMode val="edge"/>
          <c:x val="0.28541666666666776"/>
          <c:y val="2.0202020202020211E-2"/>
        </c:manualLayout>
      </c:layout>
      <c:spPr>
        <a:noFill/>
        <a:ln w="25400">
          <a:noFill/>
        </a:ln>
      </c:spPr>
    </c:title>
    <c:plotArea>
      <c:layout>
        <c:manualLayout>
          <c:layoutTarget val="inner"/>
          <c:xMode val="edge"/>
          <c:yMode val="edge"/>
          <c:x val="0.26770833333333333"/>
          <c:y val="0.18181818181818232"/>
          <c:w val="0.4635416666666668"/>
          <c:h val="0.74915824915824913"/>
        </c:manualLayout>
      </c:layout>
      <c:pieChart>
        <c:ser>
          <c:idx val="0"/>
          <c:order val="0"/>
          <c:tx>
            <c:v>Sunrise Marker Correction Epicycle</c:v>
          </c:tx>
          <c:spPr>
            <a:blipFill dpi="0" rotWithShape="0">
              <a:blip xmlns:r="http://schemas.openxmlformats.org/officeDocument/2006/relationships" r:embed="rId1"/>
              <a:srcRect/>
              <a:tile tx="0" ty="0" sx="100000" sy="100000" flip="none" algn="tl"/>
            </a:blipFill>
            <a:ln w="12700">
              <a:solidFill>
                <a:srgbClr val="000000"/>
              </a:solidFill>
              <a:prstDash val="solid"/>
            </a:ln>
          </c:spPr>
          <c:val>
            <c:numRef>
              <c:f>DATA!$M$103:$M$110</c:f>
              <c:numCache>
                <c:formatCode>0.000_)</c:formatCode>
                <c:ptCount val="8"/>
                <c:pt idx="0">
                  <c:v>10</c:v>
                </c:pt>
                <c:pt idx="1">
                  <c:v>31</c:v>
                </c:pt>
                <c:pt idx="2">
                  <c:v>30</c:v>
                </c:pt>
                <c:pt idx="3">
                  <c:v>21</c:v>
                </c:pt>
                <c:pt idx="4">
                  <c:v>10</c:v>
                </c:pt>
                <c:pt idx="5">
                  <c:v>30.5</c:v>
                </c:pt>
                <c:pt idx="6">
                  <c:v>30.5</c:v>
                </c:pt>
                <c:pt idx="7">
                  <c:v>21</c:v>
                </c:pt>
              </c:numCache>
            </c:numRef>
          </c:val>
        </c:ser>
        <c:ser>
          <c:idx val="1"/>
          <c:order val="1"/>
          <c:spPr>
            <a:solidFill>
              <a:srgbClr val="9999FF"/>
            </a:solidFill>
            <a:ln w="12700">
              <a:solidFill>
                <a:srgbClr val="000000"/>
              </a:solidFill>
              <a:prstDash val="solid"/>
            </a:ln>
          </c:spPr>
          <c:cat>
            <c:strRef>
              <c:f>DATA!$L$99:$L$101</c:f>
              <c:strCache>
                <c:ptCount val="2"/>
                <c:pt idx="1">
                  <c:v>Correction Epicycle  Diameter</c:v>
                </c:pt>
              </c:strCache>
            </c:strRef>
          </c:cat>
          <c:val>
            <c:numRef>
              <c:f>DATA!$M$99:$M$101</c:f>
              <c:numCache>
                <c:formatCode>0.000_)</c:formatCode>
                <c:ptCount val="3"/>
                <c:pt idx="2">
                  <c:v>0</c:v>
                </c:pt>
              </c:numCache>
            </c:numRef>
          </c:val>
        </c:ser>
        <c:ser>
          <c:idx val="2"/>
          <c:order val="2"/>
          <c:spPr>
            <a:solidFill>
              <a:srgbClr val="9999FF"/>
            </a:solidFill>
            <a:ln w="12700">
              <a:solidFill>
                <a:srgbClr val="000000"/>
              </a:solidFill>
              <a:prstDash val="solid"/>
            </a:ln>
          </c:spPr>
          <c:cat>
            <c:strRef>
              <c:f>DATA!$L$99:$L$101</c:f>
              <c:strCache>
                <c:ptCount val="2"/>
                <c:pt idx="1">
                  <c:v>Correction Epicycle  Diameter</c:v>
                </c:pt>
              </c:strCache>
            </c:strRef>
          </c:cat>
          <c:val>
            <c:numRef>
              <c:f>DATA!$N$99:$N$101</c:f>
              <c:numCache>
                <c:formatCode>0.000_)</c:formatCode>
                <c:ptCount val="3"/>
                <c:pt idx="1">
                  <c:v>4.1661094079626704E-2</c:v>
                </c:pt>
                <c:pt idx="2">
                  <c:v>1.5418301048962915</c:v>
                </c:pt>
              </c:numCache>
            </c:numRef>
          </c:val>
        </c:ser>
        <c:ser>
          <c:idx val="3"/>
          <c:order val="3"/>
          <c:spPr>
            <a:solidFill>
              <a:srgbClr val="9999FF"/>
            </a:solidFill>
            <a:ln w="12700">
              <a:solidFill>
                <a:srgbClr val="000000"/>
              </a:solidFill>
              <a:prstDash val="solid"/>
            </a:ln>
          </c:spPr>
          <c:val>
            <c:numRef>
              <c:f>DATA!$N$100</c:f>
              <c:numCache>
                <c:formatCode>0.000_)</c:formatCode>
                <c:ptCount val="1"/>
                <c:pt idx="0">
                  <c:v>4.1661094079626704E-2</c:v>
                </c:pt>
              </c:numCache>
            </c:numRef>
          </c:val>
        </c:ser>
        <c:ser>
          <c:idx val="4"/>
          <c:order val="4"/>
          <c:spPr>
            <a:solidFill>
              <a:srgbClr val="9999FF"/>
            </a:solidFill>
            <a:ln w="12700">
              <a:solidFill>
                <a:srgbClr val="000000"/>
              </a:solidFill>
              <a:prstDash val="solid"/>
            </a:ln>
          </c:spPr>
          <c:val>
            <c:numRef>
              <c:f>DATA!$N$100</c:f>
              <c:numCache>
                <c:formatCode>0.000_)</c:formatCode>
                <c:ptCount val="1"/>
                <c:pt idx="0">
                  <c:v>4.1661094079626704E-2</c:v>
                </c:pt>
              </c:numCache>
            </c:numRef>
          </c:val>
        </c:ser>
        <c:firstSliceAng val="90"/>
      </c:pieChart>
      <c:spPr>
        <a:noFill/>
        <a:ln w="25400">
          <a:noFill/>
        </a:ln>
      </c:spPr>
    </c:plotArea>
    <c:plotVisOnly val="1"/>
    <c:dispBlanksAs val="zero"/>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4.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25" b="1" i="0" u="none" strike="noStrike" baseline="0">
                <a:solidFill>
                  <a:srgbClr val="993366"/>
                </a:solidFill>
                <a:latin typeface="Arial"/>
                <a:ea typeface="Arial"/>
                <a:cs typeface="Arial"/>
              </a:defRPr>
            </a:pPr>
            <a:r>
              <a:rPr lang="fr-FR"/>
              <a:t>Azimuth Error for SunriseMarker [in deg]</a:t>
            </a:r>
          </a:p>
        </c:rich>
      </c:tx>
      <c:layout>
        <c:manualLayout>
          <c:xMode val="edge"/>
          <c:yMode val="edge"/>
          <c:x val="0.28201219512195203"/>
          <c:y val="1.1574100238037704E-2"/>
        </c:manualLayout>
      </c:layout>
      <c:spPr>
        <a:noFill/>
        <a:ln w="25400">
          <a:noFill/>
        </a:ln>
      </c:spPr>
    </c:title>
    <c:plotArea>
      <c:layout>
        <c:manualLayout>
          <c:layoutTarget val="inner"/>
          <c:xMode val="edge"/>
          <c:yMode val="edge"/>
          <c:x val="6.097560975609756E-2"/>
          <c:y val="0.10879654223755432"/>
          <c:w val="0.88871951219512324"/>
          <c:h val="0.85879823766239627"/>
        </c:manualLayout>
      </c:layout>
      <c:lineChart>
        <c:grouping val="standard"/>
        <c:ser>
          <c:idx val="0"/>
          <c:order val="0"/>
          <c:tx>
            <c:v>Azimut-Fehler bei fixiertem SunriseMarker</c:v>
          </c:tx>
          <c:spPr>
            <a:ln w="12700">
              <a:solidFill>
                <a:srgbClr val="000080"/>
              </a:solidFill>
              <a:prstDash val="solid"/>
            </a:ln>
          </c:spPr>
          <c:marker>
            <c:symbol val="diamond"/>
            <c:size val="5"/>
            <c:spPr>
              <a:solidFill>
                <a:srgbClr val="000080"/>
              </a:solidFill>
              <a:ln>
                <a:solidFill>
                  <a:srgbClr val="000080"/>
                </a:solidFill>
                <a:prstDash val="solid"/>
              </a:ln>
            </c:spPr>
          </c:marker>
          <c:dLbls>
            <c:spPr>
              <a:noFill/>
              <a:ln w="25400">
                <a:noFill/>
              </a:ln>
            </c:spPr>
            <c:txPr>
              <a:bodyPr rot="-5400000" vert="horz"/>
              <a:lstStyle/>
              <a:p>
                <a:pPr algn="l">
                  <a:defRPr sz="875" b="1" i="0" u="none" strike="noStrike" baseline="0">
                    <a:solidFill>
                      <a:srgbClr val="993366"/>
                    </a:solidFill>
                    <a:latin typeface="Arial"/>
                    <a:ea typeface="Arial"/>
                    <a:cs typeface="Arial"/>
                  </a:defRPr>
                </a:pPr>
                <a:endParaRPr lang="fr-FR"/>
              </a:p>
            </c:txPr>
            <c:dLblPos val="t"/>
            <c:showVal val="1"/>
          </c:dLbls>
          <c:cat>
            <c:numRef>
              <c:f>Error!$M$8:$M$20</c:f>
              <c:numCache>
                <c:formatCode>0.0</c:formatCode>
                <c:ptCount val="13"/>
                <c:pt idx="0">
                  <c:v>1E-3</c:v>
                </c:pt>
                <c:pt idx="1">
                  <c:v>2</c:v>
                </c:pt>
                <c:pt idx="2">
                  <c:v>4</c:v>
                </c:pt>
                <c:pt idx="3">
                  <c:v>6</c:v>
                </c:pt>
                <c:pt idx="4">
                  <c:v>8</c:v>
                </c:pt>
                <c:pt idx="5">
                  <c:v>10</c:v>
                </c:pt>
                <c:pt idx="6">
                  <c:v>12</c:v>
                </c:pt>
                <c:pt idx="7">
                  <c:v>14</c:v>
                </c:pt>
                <c:pt idx="8">
                  <c:v>16</c:v>
                </c:pt>
                <c:pt idx="9">
                  <c:v>18</c:v>
                </c:pt>
                <c:pt idx="10">
                  <c:v>20</c:v>
                </c:pt>
                <c:pt idx="11">
                  <c:v>22</c:v>
                </c:pt>
                <c:pt idx="12">
                  <c:v>23.44</c:v>
                </c:pt>
              </c:numCache>
            </c:numRef>
          </c:cat>
          <c:val>
            <c:numRef>
              <c:f>Error!$L$8:$L$20</c:f>
              <c:numCache>
                <c:formatCode>0.00</c:formatCode>
                <c:ptCount val="13"/>
                <c:pt idx="0">
                  <c:v>1.4294351351786498E-4</c:v>
                </c:pt>
                <c:pt idx="1">
                  <c:v>0.28290465648587532</c:v>
                </c:pt>
                <c:pt idx="2">
                  <c:v>0.54797238779536583</c:v>
                </c:pt>
                <c:pt idx="3">
                  <c:v>0.77764545889891612</c:v>
                </c:pt>
                <c:pt idx="4">
                  <c:v>0.95489099138695632</c:v>
                </c:pt>
                <c:pt idx="5">
                  <c:v>1.0633823021299447</c:v>
                </c:pt>
                <c:pt idx="6">
                  <c:v>1.0875896945083365</c:v>
                </c:pt>
                <c:pt idx="7">
                  <c:v>1.0127593794150602</c:v>
                </c:pt>
                <c:pt idx="8">
                  <c:v>0.82476237590904844</c:v>
                </c:pt>
                <c:pt idx="9">
                  <c:v>0.50979427114029263</c:v>
                </c:pt>
                <c:pt idx="10">
                  <c:v>5.3898568101592166E-2</c:v>
                </c:pt>
                <c:pt idx="11">
                  <c:v>-0.55773354395855657</c:v>
                </c:pt>
                <c:pt idx="12">
                  <c:v>-1.103787826492842</c:v>
                </c:pt>
              </c:numCache>
            </c:numRef>
          </c:val>
        </c:ser>
        <c:marker val="1"/>
        <c:axId val="76466432"/>
        <c:axId val="76566528"/>
      </c:lineChart>
      <c:catAx>
        <c:axId val="76466432"/>
        <c:scaling>
          <c:orientation val="minMax"/>
        </c:scaling>
        <c:axPos val="b"/>
        <c:numFmt formatCode="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6566528"/>
        <c:crosses val="autoZero"/>
        <c:auto val="1"/>
        <c:lblAlgn val="ctr"/>
        <c:lblOffset val="100"/>
        <c:tickLblSkip val="1"/>
        <c:tickMarkSkip val="1"/>
      </c:catAx>
      <c:valAx>
        <c:axId val="7656652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76466432"/>
        <c:crosses val="autoZero"/>
        <c:crossBetween val="midCat"/>
      </c:valAx>
      <c:spPr>
        <a:solidFill>
          <a:srgbClr val="C0C0C0"/>
        </a:solidFill>
        <a:ln w="12700">
          <a:solidFill>
            <a:srgbClr val="808080"/>
          </a:solidFill>
          <a:prstDash val="solid"/>
        </a:ln>
      </c:spPr>
    </c:plotArea>
    <c:legend>
      <c:legendPos val="r"/>
      <c:layout>
        <c:manualLayout>
          <c:xMode val="edge"/>
          <c:yMode val="edge"/>
          <c:x val="0.21646341463414673"/>
          <c:y val="0.8125018367102429"/>
          <c:w val="0.55945121951219645"/>
          <c:h val="7.4074241523440984E-2"/>
        </c:manualLayout>
      </c:layout>
      <c:spPr>
        <a:noFill/>
        <a:ln w="3175">
          <a:solidFill>
            <a:srgbClr val="C0C0C0"/>
          </a:solidFill>
          <a:prstDash val="solid"/>
        </a:ln>
      </c:spPr>
      <c:txPr>
        <a:bodyPr/>
        <a:lstStyle/>
        <a:p>
          <a:pPr>
            <a:defRPr sz="1100" b="0" i="0" u="none" strike="noStrike" baseline="0">
              <a:solidFill>
                <a:srgbClr val="000000"/>
              </a:solidFill>
              <a:latin typeface="Arial"/>
              <a:ea typeface="Arial"/>
              <a:cs typeface="Arial"/>
            </a:defRPr>
          </a:pPr>
          <a:endParaRPr lang="fr-FR"/>
        </a:p>
      </c:txPr>
    </c:legend>
    <c:plotVisOnly val="1"/>
    <c:dispBlanksAs val="gap"/>
  </c:chart>
  <c:spPr>
    <a:solidFill>
      <a:srgbClr val="FFFFCC"/>
    </a:solidFill>
    <a:ln w="254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1" footer="0.4921259845000006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fr-FR"/>
  <c:protection/>
  <c:chart>
    <c:title>
      <c:tx>
        <c:strRef>
          <c:f>DATA!$J$15</c:f>
          <c:strCache>
            <c:ptCount val="1"/>
            <c:pt idx="0">
              <c:v>Equation of Time [min] for</c:v>
            </c:pt>
          </c:strCache>
        </c:strRef>
      </c:tx>
      <c:layout>
        <c:manualLayout>
          <c:xMode val="edge"/>
          <c:yMode val="edge"/>
          <c:x val="0.38020833333333331"/>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fr-FR"/>
        </a:p>
      </c:txPr>
    </c:title>
    <c:plotArea>
      <c:layout>
        <c:manualLayout>
          <c:layoutTarget val="inner"/>
          <c:xMode val="edge"/>
          <c:yMode val="edge"/>
          <c:x val="3.437500000000001E-2"/>
          <c:y val="0.16329966329966331"/>
          <c:w val="0.92187500000000133"/>
          <c:h val="0.74915824915824913"/>
        </c:manualLayout>
      </c:layout>
      <c:scatterChart>
        <c:scatterStyle val="smoothMarker"/>
        <c:varyColors val="1"/>
        <c:ser>
          <c:idx val="0"/>
          <c:order val="0"/>
          <c:tx>
            <c:v>Zeitgleichung in min</c:v>
          </c:tx>
          <c:spPr>
            <a:ln w="25400">
              <a:solidFill>
                <a:srgbClr val="000080"/>
              </a:solidFill>
              <a:prstDash val="solid"/>
            </a:ln>
          </c:spPr>
          <c:marker>
            <c:symbol val="diamond"/>
            <c:size val="4"/>
            <c:spPr>
              <a:solidFill>
                <a:srgbClr val="FFCC00"/>
              </a:solidFill>
              <a:ln>
                <a:solidFill>
                  <a:srgbClr val="000080"/>
                </a:solidFill>
                <a:prstDash val="solid"/>
              </a:ln>
            </c:spPr>
          </c:marker>
          <c:dPt>
            <c:idx val="1"/>
            <c:marker>
              <c:symbol val="diamond"/>
              <c:size val="5"/>
              <c:spPr>
                <a:solidFill>
                  <a:srgbClr val="0000FF"/>
                </a:solidFill>
                <a:ln>
                  <a:solidFill>
                    <a:srgbClr val="000000"/>
                  </a:solidFill>
                  <a:prstDash val="solid"/>
                </a:ln>
              </c:spPr>
            </c:marker>
            <c:spPr>
              <a:ln w="25400">
                <a:solidFill>
                  <a:srgbClr val="0000FF"/>
                </a:solidFill>
                <a:prstDash val="solid"/>
              </a:ln>
            </c:spPr>
          </c:dPt>
          <c:dPt>
            <c:idx val="2"/>
            <c:marker>
              <c:symbol val="diamond"/>
              <c:size val="5"/>
              <c:spPr>
                <a:solidFill>
                  <a:srgbClr val="0000FF"/>
                </a:solidFill>
                <a:ln>
                  <a:solidFill>
                    <a:srgbClr val="000000"/>
                  </a:solidFill>
                  <a:prstDash val="solid"/>
                </a:ln>
              </c:spPr>
            </c:marker>
            <c:spPr>
              <a:ln w="25400">
                <a:solidFill>
                  <a:srgbClr val="0000FF"/>
                </a:solidFill>
                <a:prstDash val="solid"/>
              </a:ln>
            </c:spPr>
          </c:dPt>
          <c:dPt>
            <c:idx val="3"/>
            <c:marker>
              <c:symbol val="diamond"/>
              <c:size val="5"/>
              <c:spPr>
                <a:solidFill>
                  <a:srgbClr val="FFFFCC"/>
                </a:solidFill>
                <a:ln>
                  <a:solidFill>
                    <a:srgbClr val="000000"/>
                  </a:solidFill>
                  <a:prstDash val="solid"/>
                </a:ln>
              </c:spPr>
            </c:marker>
            <c:spPr>
              <a:ln w="25400">
                <a:solidFill>
                  <a:srgbClr val="0000FF"/>
                </a:solidFill>
                <a:prstDash val="solid"/>
              </a:ln>
            </c:spPr>
          </c:dPt>
          <c:dPt>
            <c:idx val="4"/>
            <c:marker>
              <c:symbol val="diamond"/>
              <c:size val="5"/>
              <c:spPr>
                <a:solidFill>
                  <a:srgbClr val="0000FF"/>
                </a:solidFill>
                <a:ln>
                  <a:solidFill>
                    <a:srgbClr val="000000"/>
                  </a:solidFill>
                  <a:prstDash val="solid"/>
                </a:ln>
              </c:spPr>
            </c:marker>
            <c:spPr>
              <a:ln w="25400">
                <a:solidFill>
                  <a:srgbClr val="0000FF"/>
                </a:solidFill>
                <a:prstDash val="solid"/>
              </a:ln>
            </c:spPr>
          </c:dPt>
          <c:dPt>
            <c:idx val="5"/>
            <c:marker>
              <c:symbol val="diamond"/>
              <c:size val="5"/>
              <c:spPr>
                <a:solidFill>
                  <a:srgbClr val="0000FF"/>
                </a:solidFill>
                <a:ln>
                  <a:solidFill>
                    <a:srgbClr val="000000"/>
                  </a:solidFill>
                  <a:prstDash val="solid"/>
                </a:ln>
              </c:spPr>
            </c:marker>
            <c:spPr>
              <a:ln w="25400">
                <a:solidFill>
                  <a:srgbClr val="0000FF"/>
                </a:solidFill>
                <a:prstDash val="solid"/>
              </a:ln>
            </c:spPr>
          </c:dPt>
          <c:dPt>
            <c:idx val="6"/>
            <c:marker>
              <c:symbol val="diamond"/>
              <c:size val="5"/>
              <c:spPr>
                <a:solidFill>
                  <a:srgbClr val="FFFF99"/>
                </a:solidFill>
                <a:ln>
                  <a:solidFill>
                    <a:srgbClr val="000000"/>
                  </a:solidFill>
                  <a:prstDash val="solid"/>
                </a:ln>
              </c:spPr>
            </c:marker>
            <c:spPr>
              <a:ln w="25400">
                <a:solidFill>
                  <a:srgbClr val="0000FF"/>
                </a:solidFill>
                <a:prstDash val="solid"/>
              </a:ln>
            </c:spPr>
          </c:dPt>
          <c:dPt>
            <c:idx val="7"/>
            <c:marker>
              <c:symbol val="diamond"/>
              <c:size val="5"/>
              <c:spPr>
                <a:solidFill>
                  <a:srgbClr val="0000FF"/>
                </a:solidFill>
                <a:ln>
                  <a:solidFill>
                    <a:srgbClr val="000000"/>
                  </a:solidFill>
                  <a:prstDash val="solid"/>
                </a:ln>
              </c:spPr>
            </c:marker>
            <c:spPr>
              <a:ln w="25400">
                <a:solidFill>
                  <a:srgbClr val="0000FF"/>
                </a:solidFill>
                <a:prstDash val="solid"/>
              </a:ln>
            </c:spPr>
          </c:dPt>
          <c:dPt>
            <c:idx val="8"/>
            <c:marker>
              <c:symbol val="diamond"/>
              <c:size val="5"/>
              <c:spPr>
                <a:solidFill>
                  <a:srgbClr val="0000FF"/>
                </a:solidFill>
                <a:ln>
                  <a:solidFill>
                    <a:srgbClr val="000000"/>
                  </a:solidFill>
                  <a:prstDash val="solid"/>
                </a:ln>
              </c:spPr>
            </c:marker>
            <c:spPr>
              <a:ln w="25400">
                <a:solidFill>
                  <a:srgbClr val="0000FF"/>
                </a:solidFill>
                <a:prstDash val="solid"/>
              </a:ln>
            </c:spPr>
          </c:dPt>
          <c:dPt>
            <c:idx val="9"/>
            <c:marker>
              <c:symbol val="diamond"/>
              <c:size val="5"/>
              <c:spPr>
                <a:solidFill>
                  <a:srgbClr val="FFFFCC"/>
                </a:solidFill>
                <a:ln>
                  <a:solidFill>
                    <a:srgbClr val="008000"/>
                  </a:solidFill>
                  <a:prstDash val="solid"/>
                </a:ln>
              </c:spPr>
            </c:marker>
            <c:spPr>
              <a:ln w="25400">
                <a:solidFill>
                  <a:srgbClr val="339966"/>
                </a:solidFill>
                <a:prstDash val="solid"/>
              </a:ln>
            </c:spPr>
          </c:dPt>
          <c:dPt>
            <c:idx val="10"/>
            <c:marker>
              <c:symbol val="diamond"/>
              <c:size val="5"/>
              <c:spPr>
                <a:solidFill>
                  <a:srgbClr val="339966"/>
                </a:solidFill>
                <a:ln>
                  <a:solidFill>
                    <a:srgbClr val="000000"/>
                  </a:solidFill>
                  <a:prstDash val="solid"/>
                </a:ln>
              </c:spPr>
            </c:marker>
            <c:spPr>
              <a:ln w="25400">
                <a:solidFill>
                  <a:srgbClr val="339966"/>
                </a:solidFill>
                <a:prstDash val="solid"/>
              </a:ln>
            </c:spPr>
          </c:dPt>
          <c:dPt>
            <c:idx val="11"/>
            <c:marker>
              <c:symbol val="diamond"/>
              <c:size val="5"/>
              <c:spPr>
                <a:solidFill>
                  <a:srgbClr val="339966"/>
                </a:solidFill>
                <a:ln>
                  <a:solidFill>
                    <a:srgbClr val="000000"/>
                  </a:solidFill>
                  <a:prstDash val="solid"/>
                </a:ln>
              </c:spPr>
            </c:marker>
            <c:spPr>
              <a:ln w="25400">
                <a:solidFill>
                  <a:srgbClr val="339966"/>
                </a:solidFill>
                <a:prstDash val="solid"/>
              </a:ln>
            </c:spPr>
          </c:dPt>
          <c:dPt>
            <c:idx val="12"/>
            <c:marker>
              <c:symbol val="diamond"/>
              <c:size val="5"/>
              <c:spPr>
                <a:solidFill>
                  <a:srgbClr val="FFFFCC"/>
                </a:solidFill>
                <a:ln>
                  <a:solidFill>
                    <a:srgbClr val="000000"/>
                  </a:solidFill>
                  <a:prstDash val="solid"/>
                </a:ln>
              </c:spPr>
            </c:marker>
            <c:spPr>
              <a:ln w="25400">
                <a:solidFill>
                  <a:srgbClr val="339966"/>
                </a:solidFill>
                <a:prstDash val="solid"/>
              </a:ln>
            </c:spPr>
          </c:dPt>
          <c:dPt>
            <c:idx val="13"/>
            <c:marker>
              <c:symbol val="diamond"/>
              <c:size val="5"/>
              <c:spPr>
                <a:solidFill>
                  <a:srgbClr val="339966"/>
                </a:solidFill>
                <a:ln>
                  <a:solidFill>
                    <a:srgbClr val="000000"/>
                  </a:solidFill>
                  <a:prstDash val="solid"/>
                </a:ln>
              </c:spPr>
            </c:marker>
            <c:spPr>
              <a:ln w="25400">
                <a:solidFill>
                  <a:srgbClr val="339966"/>
                </a:solidFill>
                <a:prstDash val="solid"/>
              </a:ln>
            </c:spPr>
          </c:dPt>
          <c:dPt>
            <c:idx val="14"/>
            <c:marker>
              <c:symbol val="diamond"/>
              <c:size val="5"/>
              <c:spPr>
                <a:solidFill>
                  <a:srgbClr val="339966"/>
                </a:solidFill>
                <a:ln>
                  <a:solidFill>
                    <a:srgbClr val="000000"/>
                  </a:solidFill>
                  <a:prstDash val="solid"/>
                </a:ln>
              </c:spPr>
            </c:marker>
            <c:spPr>
              <a:ln w="25400">
                <a:solidFill>
                  <a:srgbClr val="339966"/>
                </a:solidFill>
                <a:prstDash val="solid"/>
              </a:ln>
            </c:spPr>
          </c:dPt>
          <c:dPt>
            <c:idx val="15"/>
            <c:marker>
              <c:symbol val="diamond"/>
              <c:size val="5"/>
              <c:spPr>
                <a:solidFill>
                  <a:srgbClr val="FFFFCC"/>
                </a:solidFill>
                <a:ln>
                  <a:solidFill>
                    <a:srgbClr val="000000"/>
                  </a:solidFill>
                  <a:prstDash val="solid"/>
                </a:ln>
              </c:spPr>
            </c:marker>
            <c:spPr>
              <a:ln w="25400">
                <a:solidFill>
                  <a:srgbClr val="339966"/>
                </a:solidFill>
                <a:prstDash val="solid"/>
              </a:ln>
            </c:spPr>
          </c:dPt>
          <c:dPt>
            <c:idx val="16"/>
            <c:marker>
              <c:symbol val="diamond"/>
              <c:size val="5"/>
              <c:spPr>
                <a:solidFill>
                  <a:srgbClr val="339966"/>
                </a:solidFill>
                <a:ln>
                  <a:solidFill>
                    <a:srgbClr val="000000"/>
                  </a:solidFill>
                  <a:prstDash val="solid"/>
                </a:ln>
              </c:spPr>
            </c:marker>
            <c:spPr>
              <a:ln w="25400">
                <a:solidFill>
                  <a:srgbClr val="339966"/>
                </a:solidFill>
                <a:prstDash val="solid"/>
              </a:ln>
            </c:spPr>
          </c:dPt>
          <c:dPt>
            <c:idx val="17"/>
            <c:marker>
              <c:symbol val="diamond"/>
              <c:size val="5"/>
              <c:spPr>
                <a:solidFill>
                  <a:srgbClr val="339966"/>
                </a:solidFill>
                <a:ln>
                  <a:solidFill>
                    <a:srgbClr val="000000"/>
                  </a:solidFill>
                  <a:prstDash val="solid"/>
                </a:ln>
              </c:spPr>
            </c:marker>
            <c:spPr>
              <a:ln w="25400">
                <a:solidFill>
                  <a:srgbClr val="339966"/>
                </a:solidFill>
                <a:prstDash val="solid"/>
              </a:ln>
            </c:spPr>
          </c:dPt>
          <c:dPt>
            <c:idx val="18"/>
            <c:marker>
              <c:symbol val="diamond"/>
              <c:size val="5"/>
              <c:spPr>
                <a:solidFill>
                  <a:srgbClr val="FFFFCC"/>
                </a:solidFill>
                <a:ln>
                  <a:solidFill>
                    <a:srgbClr val="000000"/>
                  </a:solidFill>
                  <a:prstDash val="solid"/>
                </a:ln>
              </c:spPr>
            </c:marker>
            <c:spPr>
              <a:ln w="25400">
                <a:solidFill>
                  <a:srgbClr val="FF6600"/>
                </a:solidFill>
                <a:prstDash val="solid"/>
              </a:ln>
            </c:spPr>
          </c:dPt>
          <c:dPt>
            <c:idx val="19"/>
            <c:marker>
              <c:symbol val="diamond"/>
              <c:size val="5"/>
              <c:spPr>
                <a:solidFill>
                  <a:srgbClr val="FF6600"/>
                </a:solidFill>
                <a:ln>
                  <a:solidFill>
                    <a:srgbClr val="000000"/>
                  </a:solidFill>
                  <a:prstDash val="solid"/>
                </a:ln>
              </c:spPr>
            </c:marker>
            <c:spPr>
              <a:ln w="25400">
                <a:solidFill>
                  <a:srgbClr val="FF6600"/>
                </a:solidFill>
                <a:prstDash val="solid"/>
              </a:ln>
            </c:spPr>
          </c:dPt>
          <c:dPt>
            <c:idx val="20"/>
            <c:marker>
              <c:symbol val="diamond"/>
              <c:size val="5"/>
              <c:spPr>
                <a:solidFill>
                  <a:srgbClr val="FF6600"/>
                </a:solidFill>
                <a:ln>
                  <a:solidFill>
                    <a:srgbClr val="000000"/>
                  </a:solidFill>
                  <a:prstDash val="solid"/>
                </a:ln>
              </c:spPr>
            </c:marker>
            <c:spPr>
              <a:ln w="25400">
                <a:solidFill>
                  <a:srgbClr val="FF6600"/>
                </a:solidFill>
                <a:prstDash val="solid"/>
              </a:ln>
            </c:spPr>
          </c:dPt>
          <c:dPt>
            <c:idx val="21"/>
            <c:marker>
              <c:symbol val="diamond"/>
              <c:size val="5"/>
              <c:spPr>
                <a:solidFill>
                  <a:srgbClr val="FFFFCC"/>
                </a:solidFill>
                <a:ln>
                  <a:solidFill>
                    <a:srgbClr val="000000"/>
                  </a:solidFill>
                  <a:prstDash val="solid"/>
                </a:ln>
              </c:spPr>
            </c:marker>
            <c:spPr>
              <a:ln w="25400">
                <a:solidFill>
                  <a:srgbClr val="FF6600"/>
                </a:solidFill>
                <a:prstDash val="solid"/>
              </a:ln>
            </c:spPr>
          </c:dPt>
          <c:dPt>
            <c:idx val="22"/>
            <c:marker>
              <c:symbol val="diamond"/>
              <c:size val="5"/>
              <c:spPr>
                <a:solidFill>
                  <a:srgbClr val="FF6600"/>
                </a:solidFill>
                <a:ln>
                  <a:solidFill>
                    <a:srgbClr val="000000"/>
                  </a:solidFill>
                  <a:prstDash val="solid"/>
                </a:ln>
              </c:spPr>
            </c:marker>
            <c:spPr>
              <a:ln w="25400">
                <a:solidFill>
                  <a:srgbClr val="FF6600"/>
                </a:solidFill>
                <a:prstDash val="solid"/>
              </a:ln>
            </c:spPr>
          </c:dPt>
          <c:dPt>
            <c:idx val="23"/>
            <c:marker>
              <c:symbol val="diamond"/>
              <c:size val="5"/>
              <c:spPr>
                <a:solidFill>
                  <a:srgbClr val="FF6600"/>
                </a:solidFill>
                <a:ln>
                  <a:solidFill>
                    <a:srgbClr val="000000"/>
                  </a:solidFill>
                  <a:prstDash val="solid"/>
                </a:ln>
              </c:spPr>
            </c:marker>
            <c:spPr>
              <a:ln w="25400">
                <a:solidFill>
                  <a:srgbClr val="FF6600"/>
                </a:solidFill>
                <a:prstDash val="solid"/>
              </a:ln>
            </c:spPr>
          </c:dPt>
          <c:dPt>
            <c:idx val="24"/>
            <c:marker>
              <c:symbol val="diamond"/>
              <c:size val="5"/>
              <c:spPr>
                <a:solidFill>
                  <a:srgbClr val="FFFFCC"/>
                </a:solidFill>
                <a:ln>
                  <a:solidFill>
                    <a:srgbClr val="000000"/>
                  </a:solidFill>
                  <a:prstDash val="solid"/>
                </a:ln>
              </c:spPr>
            </c:marker>
            <c:spPr>
              <a:ln w="25400">
                <a:solidFill>
                  <a:srgbClr val="FF6600"/>
                </a:solidFill>
                <a:prstDash val="solid"/>
              </a:ln>
            </c:spPr>
          </c:dPt>
          <c:dPt>
            <c:idx val="25"/>
            <c:marker>
              <c:symbol val="diamond"/>
              <c:size val="5"/>
              <c:spPr>
                <a:solidFill>
                  <a:srgbClr val="FF6600"/>
                </a:solidFill>
                <a:ln>
                  <a:solidFill>
                    <a:srgbClr val="000000"/>
                  </a:solidFill>
                  <a:prstDash val="solid"/>
                </a:ln>
              </c:spPr>
            </c:marker>
            <c:spPr>
              <a:ln w="25400">
                <a:solidFill>
                  <a:srgbClr val="FF6600"/>
                </a:solidFill>
                <a:prstDash val="solid"/>
              </a:ln>
            </c:spPr>
          </c:dPt>
          <c:dPt>
            <c:idx val="26"/>
            <c:marker>
              <c:symbol val="diamond"/>
              <c:size val="5"/>
              <c:spPr>
                <a:solidFill>
                  <a:srgbClr val="FF6600"/>
                </a:solidFill>
                <a:ln>
                  <a:solidFill>
                    <a:srgbClr val="000000"/>
                  </a:solidFill>
                  <a:prstDash val="solid"/>
                </a:ln>
              </c:spPr>
            </c:marker>
            <c:spPr>
              <a:ln w="25400">
                <a:solidFill>
                  <a:srgbClr val="FF6600"/>
                </a:solidFill>
                <a:prstDash val="solid"/>
              </a:ln>
            </c:spPr>
          </c:dPt>
          <c:dPt>
            <c:idx val="27"/>
            <c:marker>
              <c:symbol val="diamond"/>
              <c:size val="5"/>
              <c:spPr>
                <a:solidFill>
                  <a:srgbClr val="FFFFCC"/>
                </a:solidFill>
                <a:ln>
                  <a:solidFill>
                    <a:srgbClr val="333300"/>
                  </a:solidFill>
                  <a:prstDash val="solid"/>
                </a:ln>
              </c:spPr>
            </c:marker>
            <c:spPr>
              <a:ln w="25400">
                <a:solidFill>
                  <a:srgbClr val="800000"/>
                </a:solidFill>
                <a:prstDash val="solid"/>
              </a:ln>
            </c:spPr>
          </c:dPt>
          <c:dPt>
            <c:idx val="28"/>
            <c:marker>
              <c:symbol val="diamond"/>
              <c:size val="5"/>
              <c:spPr>
                <a:solidFill>
                  <a:srgbClr val="993300"/>
                </a:solidFill>
                <a:ln>
                  <a:solidFill>
                    <a:srgbClr val="000000"/>
                  </a:solidFill>
                  <a:prstDash val="solid"/>
                </a:ln>
              </c:spPr>
            </c:marker>
            <c:spPr>
              <a:ln w="25400">
                <a:solidFill>
                  <a:srgbClr val="800000"/>
                </a:solidFill>
                <a:prstDash val="solid"/>
              </a:ln>
            </c:spPr>
          </c:dPt>
          <c:dPt>
            <c:idx val="29"/>
            <c:marker>
              <c:symbol val="diamond"/>
              <c:size val="5"/>
              <c:spPr>
                <a:solidFill>
                  <a:srgbClr val="993366"/>
                </a:solidFill>
                <a:ln>
                  <a:solidFill>
                    <a:srgbClr val="000000"/>
                  </a:solidFill>
                  <a:prstDash val="solid"/>
                </a:ln>
              </c:spPr>
            </c:marker>
            <c:spPr>
              <a:ln w="25400">
                <a:solidFill>
                  <a:srgbClr val="800000"/>
                </a:solidFill>
                <a:prstDash val="solid"/>
              </a:ln>
            </c:spPr>
          </c:dPt>
          <c:dPt>
            <c:idx val="30"/>
            <c:marker>
              <c:symbol val="diamond"/>
              <c:size val="5"/>
              <c:spPr>
                <a:solidFill>
                  <a:srgbClr val="FFFFCC"/>
                </a:solidFill>
                <a:ln>
                  <a:solidFill>
                    <a:srgbClr val="000000"/>
                  </a:solidFill>
                  <a:prstDash val="solid"/>
                </a:ln>
              </c:spPr>
            </c:marker>
            <c:spPr>
              <a:ln w="25400">
                <a:solidFill>
                  <a:srgbClr val="800000"/>
                </a:solidFill>
                <a:prstDash val="solid"/>
              </a:ln>
            </c:spPr>
          </c:dPt>
          <c:dPt>
            <c:idx val="31"/>
            <c:marker>
              <c:symbol val="diamond"/>
              <c:size val="5"/>
              <c:spPr>
                <a:solidFill>
                  <a:srgbClr val="993366"/>
                </a:solidFill>
                <a:ln>
                  <a:solidFill>
                    <a:srgbClr val="000000"/>
                  </a:solidFill>
                  <a:prstDash val="solid"/>
                </a:ln>
              </c:spPr>
            </c:marker>
            <c:spPr>
              <a:ln w="25400">
                <a:solidFill>
                  <a:srgbClr val="800000"/>
                </a:solidFill>
                <a:prstDash val="solid"/>
              </a:ln>
            </c:spPr>
          </c:dPt>
          <c:dPt>
            <c:idx val="32"/>
            <c:marker>
              <c:symbol val="diamond"/>
              <c:size val="5"/>
              <c:spPr>
                <a:solidFill>
                  <a:srgbClr val="993366"/>
                </a:solidFill>
                <a:ln>
                  <a:solidFill>
                    <a:srgbClr val="000000"/>
                  </a:solidFill>
                  <a:prstDash val="solid"/>
                </a:ln>
              </c:spPr>
            </c:marker>
            <c:spPr>
              <a:ln w="25400">
                <a:solidFill>
                  <a:srgbClr val="800000"/>
                </a:solidFill>
                <a:prstDash val="solid"/>
              </a:ln>
            </c:spPr>
          </c:dPt>
          <c:dPt>
            <c:idx val="33"/>
            <c:marker>
              <c:symbol val="diamond"/>
              <c:size val="5"/>
              <c:spPr>
                <a:solidFill>
                  <a:srgbClr val="FFFFCC"/>
                </a:solidFill>
                <a:ln>
                  <a:solidFill>
                    <a:srgbClr val="000000"/>
                  </a:solidFill>
                  <a:prstDash val="solid"/>
                </a:ln>
              </c:spPr>
            </c:marker>
            <c:spPr>
              <a:ln w="25400">
                <a:solidFill>
                  <a:srgbClr val="800000"/>
                </a:solidFill>
                <a:prstDash val="solid"/>
              </a:ln>
            </c:spPr>
          </c:dPt>
          <c:dPt>
            <c:idx val="34"/>
            <c:marker>
              <c:symbol val="diamond"/>
              <c:size val="5"/>
              <c:spPr>
                <a:solidFill>
                  <a:srgbClr val="993366"/>
                </a:solidFill>
                <a:ln>
                  <a:solidFill>
                    <a:srgbClr val="000000"/>
                  </a:solidFill>
                  <a:prstDash val="solid"/>
                </a:ln>
              </c:spPr>
            </c:marker>
            <c:spPr>
              <a:ln w="25400">
                <a:solidFill>
                  <a:srgbClr val="800000"/>
                </a:solidFill>
                <a:prstDash val="solid"/>
              </a:ln>
            </c:spPr>
          </c:dPt>
          <c:dPt>
            <c:idx val="35"/>
            <c:marker>
              <c:symbol val="diamond"/>
              <c:size val="5"/>
              <c:spPr>
                <a:solidFill>
                  <a:srgbClr val="993366"/>
                </a:solidFill>
                <a:ln>
                  <a:solidFill>
                    <a:srgbClr val="000000"/>
                  </a:solidFill>
                  <a:prstDash val="solid"/>
                </a:ln>
              </c:spPr>
            </c:marker>
            <c:spPr>
              <a:ln w="25400">
                <a:solidFill>
                  <a:srgbClr val="800000"/>
                </a:solidFill>
                <a:prstDash val="solid"/>
              </a:ln>
            </c:spPr>
          </c:dPt>
          <c:dPt>
            <c:idx val="36"/>
            <c:marker>
              <c:symbol val="diamond"/>
              <c:size val="5"/>
              <c:spPr>
                <a:solidFill>
                  <a:srgbClr val="FFFFCC"/>
                </a:solidFill>
                <a:ln>
                  <a:solidFill>
                    <a:srgbClr val="000000"/>
                  </a:solidFill>
                  <a:prstDash val="solid"/>
                </a:ln>
              </c:spPr>
            </c:marker>
            <c:spPr>
              <a:ln w="25400">
                <a:solidFill>
                  <a:srgbClr val="0000FF"/>
                </a:solidFill>
                <a:prstDash val="solid"/>
              </a:ln>
            </c:spPr>
          </c:dPt>
          <c:dLbls>
            <c:dLbl>
              <c:idx val="0"/>
              <c:layout>
                <c:manualLayout>
                  <c:x val="2.120297462817165E-3"/>
                  <c:y val="-1.3972975600272291E-2"/>
                </c:manualLayout>
              </c:layout>
              <c:dLblPos val="r"/>
              <c:showVal val="1"/>
            </c:dLbl>
            <c:dLbl>
              <c:idx val="1"/>
              <c:layout>
                <c:manualLayout>
                  <c:x val="-5.1819116360454782E-2"/>
                  <c:y val="4.4094488188976058E-3"/>
                </c:manualLayout>
              </c:layout>
              <c:dLblPos val="r"/>
              <c:showVal val="1"/>
            </c:dLbl>
            <c:dLbl>
              <c:idx val="2"/>
              <c:layout>
                <c:manualLayout>
                  <c:x val="-6.0764326334208425E-2"/>
                  <c:y val="7.9376441581161395E-4"/>
                </c:manualLayout>
              </c:layout>
              <c:dLblPos val="r"/>
              <c:showVal val="1"/>
            </c:dLbl>
            <c:dLbl>
              <c:idx val="3"/>
              <c:layout>
                <c:manualLayout>
                  <c:x val="-4.7755686789151403E-2"/>
                  <c:y val="1.05038132859655E-2"/>
                </c:manualLayout>
              </c:layout>
              <c:dLblPos val="r"/>
              <c:showVal val="1"/>
            </c:dLbl>
            <c:dLbl>
              <c:idx val="4"/>
              <c:layout>
                <c:manualLayout>
                  <c:x val="-2.3430664916885553E-3"/>
                  <c:y val="6.7329462605052633E-3"/>
                </c:manualLayout>
              </c:layout>
              <c:dLblPos val="r"/>
              <c:showVal val="1"/>
            </c:dLbl>
            <c:dLbl>
              <c:idx val="5"/>
              <c:layout>
                <c:manualLayout>
                  <c:x val="-3.6605424321960005E-3"/>
                  <c:y val="6.5828892600546373E-3"/>
                </c:manualLayout>
              </c:layout>
              <c:dLblPos val="r"/>
              <c:showVal val="1"/>
            </c:dLbl>
            <c:dLbl>
              <c:idx val="7"/>
              <c:layout>
                <c:manualLayout>
                  <c:x val="-4.8231627296588114E-3"/>
                  <c:y val="4.5718780101982265E-3"/>
                </c:manualLayout>
              </c:layout>
              <c:dLblPos val="r"/>
              <c:showVal val="1"/>
            </c:dLbl>
            <c:dLbl>
              <c:idx val="10"/>
              <c:layout>
                <c:manualLayout>
                  <c:x val="-1.310203412073494E-2"/>
                  <c:y val="1.0978728669017388E-2"/>
                </c:manualLayout>
              </c:layout>
              <c:dLblPos val="r"/>
              <c:showVal val="1"/>
            </c:dLbl>
            <c:dLbl>
              <c:idx val="11"/>
              <c:layout>
                <c:manualLayout>
                  <c:x val="-2.422462817147824E-3"/>
                  <c:y val="4.0980231006477871E-3"/>
                </c:manualLayout>
              </c:layout>
              <c:dLblPos val="r"/>
              <c:showVal val="1"/>
            </c:dLbl>
            <c:dLbl>
              <c:idx val="12"/>
              <c:layout>
                <c:manualLayout>
                  <c:x val="-1.3868110236220112E-3"/>
                  <c:y val="6.1311275484503824E-3"/>
                </c:manualLayout>
              </c:layout>
              <c:dLblPos val="r"/>
              <c:showVal val="1"/>
            </c:dLbl>
            <c:dLbl>
              <c:idx val="13"/>
              <c:layout>
                <c:manualLayout>
                  <c:x val="-1.2503718285214313E-2"/>
                  <c:y val="-2.5500676051857157E-2"/>
                </c:manualLayout>
              </c:layout>
              <c:dLblPos val="r"/>
              <c:showVal val="1"/>
            </c:dLbl>
            <c:dLbl>
              <c:idx val="14"/>
              <c:layout>
                <c:manualLayout>
                  <c:x val="-8.8363954505688708E-4"/>
                  <c:y val="-1.3026149509089167E-2"/>
                </c:manualLayout>
              </c:layout>
              <c:dLblPos val="r"/>
              <c:showVal val="1"/>
            </c:dLbl>
            <c:dLbl>
              <c:idx val="16"/>
              <c:layout>
                <c:manualLayout>
                  <c:x val="-4.4997812773403074E-3"/>
                  <c:y val="-1.4188074975476538E-2"/>
                </c:manualLayout>
              </c:layout>
              <c:dLblPos val="r"/>
              <c:showVal val="1"/>
            </c:dLbl>
            <c:dLbl>
              <c:idx val="17"/>
              <c:layout>
                <c:manualLayout>
                  <c:x val="-5.0707786526684173E-2"/>
                  <c:y val="-1.9214012389865956E-3"/>
                </c:manualLayout>
              </c:layout>
              <c:dLblPos val="r"/>
              <c:showVal val="1"/>
            </c:dLbl>
            <c:dLbl>
              <c:idx val="18"/>
              <c:layout>
                <c:manualLayout>
                  <c:x val="-4.6753718285214352E-2"/>
                  <c:y val="-2.1193562925846832E-3"/>
                </c:manualLayout>
              </c:layout>
              <c:dLblPos val="r"/>
              <c:showVal val="1"/>
            </c:dLbl>
            <c:dLbl>
              <c:idx val="20"/>
              <c:layout>
                <c:manualLayout>
                  <c:x val="-9.7361111111110999E-3"/>
                  <c:y val="1.101938015323844E-2"/>
                </c:manualLayout>
              </c:layout>
              <c:dLblPos val="r"/>
              <c:showVal val="1"/>
            </c:dLbl>
            <c:dLbl>
              <c:idx val="21"/>
              <c:layout>
                <c:manualLayout>
                  <c:x val="-3.8511482939632573E-2"/>
                  <c:y val="1.3732071369866655E-2"/>
                </c:manualLayout>
              </c:layout>
              <c:dLblPos val="r"/>
              <c:showVal val="1"/>
            </c:dLbl>
            <c:dLbl>
              <c:idx val="22"/>
              <c:layout>
                <c:manualLayout>
                  <c:x val="-4.4159120734908186E-2"/>
                  <c:y val="1.5097607748526335E-2"/>
                </c:manualLayout>
              </c:layout>
              <c:dLblPos val="r"/>
              <c:showVal val="1"/>
            </c:dLbl>
            <c:dLbl>
              <c:idx val="24"/>
              <c:layout>
                <c:manualLayout>
                  <c:x val="-6.0340113735783104E-3"/>
                  <c:y val="-1.5808655231227497E-2"/>
                </c:manualLayout>
              </c:layout>
              <c:dLblPos val="r"/>
              <c:showVal val="1"/>
            </c:dLbl>
            <c:dLbl>
              <c:idx val="29"/>
              <c:layout>
                <c:manualLayout>
                  <c:x val="-1.0423228346456326E-3"/>
                  <c:y val="-1.0924644520445038E-2"/>
                </c:manualLayout>
              </c:layout>
              <c:dLblPos val="r"/>
              <c:showVal val="1"/>
            </c:dLbl>
            <c:dLbl>
              <c:idx val="30"/>
              <c:layout>
                <c:manualLayout>
                  <c:x val="1.076115485564342E-4"/>
                  <c:y val="-1.1415467006018207E-2"/>
                </c:manualLayout>
              </c:layout>
              <c:dLblPos val="r"/>
              <c:showVal val="1"/>
            </c:dLbl>
            <c:dLbl>
              <c:idx val="31"/>
              <c:layout>
                <c:manualLayout>
                  <c:x val="-4.1565944881889777E-2"/>
                  <c:y val="-1.6948840990835764E-2"/>
                </c:manualLayout>
              </c:layout>
              <c:dLblPos val="r"/>
              <c:showVal val="1"/>
            </c:dLbl>
            <c:dLbl>
              <c:idx val="33"/>
              <c:layout>
                <c:manualLayout>
                  <c:x val="8.3781714785651667E-4"/>
                  <c:y val="-1.097713795876528E-2"/>
                </c:manualLayout>
              </c:layout>
              <c:dLblPos val="r"/>
              <c:showVal val="1"/>
            </c:dLbl>
            <c:dLbl>
              <c:idx val="36"/>
              <c:layout>
                <c:manualLayout>
                  <c:x val="-4.3005905511811021E-2"/>
                  <c:y val="8.8860609595517552E-3"/>
                </c:manualLayout>
              </c:layout>
              <c:dLblPos val="r"/>
              <c:showVal val="1"/>
            </c:dLbl>
            <c:spPr>
              <a:noFill/>
              <a:ln w="25400">
                <a:noFill/>
              </a:ln>
            </c:spPr>
            <c:txPr>
              <a:bodyPr/>
              <a:lstStyle/>
              <a:p>
                <a:pPr>
                  <a:defRPr sz="1000" b="0" i="0" u="none" strike="noStrike" baseline="0">
                    <a:solidFill>
                      <a:srgbClr val="808080"/>
                    </a:solidFill>
                    <a:latin typeface="Arial"/>
                    <a:ea typeface="Arial"/>
                    <a:cs typeface="Arial"/>
                  </a:defRPr>
                </a:pPr>
                <a:endParaRPr lang="fr-FR"/>
              </a:p>
            </c:txPr>
            <c:showVal val="1"/>
          </c:dLbls>
          <c:xVal>
            <c:numRef>
              <c:f>DATA!$T$25:$T$61</c:f>
              <c:numCache>
                <c:formatCode>0.000_)</c:formatCode>
                <c:ptCount val="37"/>
                <c:pt idx="0">
                  <c:v>-23.005773582321407</c:v>
                </c:pt>
                <c:pt idx="1">
                  <c:v>-21.812820983298522</c:v>
                </c:pt>
                <c:pt idx="2">
                  <c:v>-19.915228694018154</c:v>
                </c:pt>
                <c:pt idx="3">
                  <c:v>-17.117957759780666</c:v>
                </c:pt>
                <c:pt idx="4">
                  <c:v>-14.044293129837797</c:v>
                </c:pt>
                <c:pt idx="5">
                  <c:v>-10.583007475517189</c:v>
                </c:pt>
                <c:pt idx="6">
                  <c:v>-7.6121405656675369</c:v>
                </c:pt>
                <c:pt idx="7">
                  <c:v>-3.7402901160639046</c:v>
                </c:pt>
                <c:pt idx="8">
                  <c:v>0.20718685062565725</c:v>
                </c:pt>
                <c:pt idx="9">
                  <c:v>4.514295297867065</c:v>
                </c:pt>
                <c:pt idx="10">
                  <c:v>8.2906551297568942</c:v>
                </c:pt>
                <c:pt idx="11">
                  <c:v>11.835718791832644</c:v>
                </c:pt>
                <c:pt idx="12">
                  <c:v>15.05638156710406</c:v>
                </c:pt>
                <c:pt idx="13">
                  <c:v>17.862726700758522</c:v>
                </c:pt>
                <c:pt idx="14">
                  <c:v>20.170334027008334</c:v>
                </c:pt>
                <c:pt idx="15">
                  <c:v>22.043721288410179</c:v>
                </c:pt>
                <c:pt idx="16">
                  <c:v>23.078330473825844</c:v>
                </c:pt>
                <c:pt idx="17">
                  <c:v>23.437632581355025</c:v>
                </c:pt>
                <c:pt idx="18">
                  <c:v>23.110180753851164</c:v>
                </c:pt>
                <c:pt idx="19">
                  <c:v>22.11128794367195</c:v>
                </c:pt>
                <c:pt idx="20">
                  <c:v>20.480977595507181</c:v>
                </c:pt>
                <c:pt idx="21">
                  <c:v>18.03038029206709</c:v>
                </c:pt>
                <c:pt idx="22">
                  <c:v>15.285844612056914</c:v>
                </c:pt>
                <c:pt idx="23">
                  <c:v>12.134749138417925</c:v>
                </c:pt>
                <c:pt idx="24">
                  <c:v>8.3027877148934319</c:v>
                </c:pt>
                <c:pt idx="25">
                  <c:v>4.5830732952182105</c:v>
                </c:pt>
                <c:pt idx="26">
                  <c:v>0.73174849583653812</c:v>
                </c:pt>
                <c:pt idx="27">
                  <c:v>-3.1587419195866189</c:v>
                </c:pt>
                <c:pt idx="28">
                  <c:v>-6.9924332136598597</c:v>
                </c:pt>
                <c:pt idx="29">
                  <c:v>-10.668513311486565</c:v>
                </c:pt>
                <c:pt idx="30">
                  <c:v>-14.403199248645491</c:v>
                </c:pt>
                <c:pt idx="31">
                  <c:v>-17.397176546428245</c:v>
                </c:pt>
                <c:pt idx="32">
                  <c:v>-19.893718314246449</c:v>
                </c:pt>
                <c:pt idx="33">
                  <c:v>-21.787439742405649</c:v>
                </c:pt>
                <c:pt idx="34">
                  <c:v>-22.988909264808527</c:v>
                </c:pt>
                <c:pt idx="35">
                  <c:v>-23.43565159121577</c:v>
                </c:pt>
                <c:pt idx="36">
                  <c:v>-23.025293504685006</c:v>
                </c:pt>
              </c:numCache>
            </c:numRef>
          </c:xVal>
          <c:yVal>
            <c:numRef>
              <c:f>DATA!$U$25:$U$61</c:f>
              <c:numCache>
                <c:formatCode>0.00</c:formatCode>
                <c:ptCount val="37"/>
                <c:pt idx="0">
                  <c:v>-3.4289869774418986</c:v>
                </c:pt>
                <c:pt idx="1">
                  <c:v>-7.8102587161777173</c:v>
                </c:pt>
                <c:pt idx="2">
                  <c:v>-11.232453393627591</c:v>
                </c:pt>
                <c:pt idx="3">
                  <c:v>-13.548549563478849</c:v>
                </c:pt>
                <c:pt idx="4">
                  <c:v>-14.233751957218884</c:v>
                </c:pt>
                <c:pt idx="5">
                  <c:v>-13.647109608257185</c:v>
                </c:pt>
                <c:pt idx="6">
                  <c:v>-12.39917110056019</c:v>
                </c:pt>
                <c:pt idx="7">
                  <c:v>-10.101980182850079</c:v>
                </c:pt>
                <c:pt idx="8">
                  <c:v>-7.2841583300115493</c:v>
                </c:pt>
                <c:pt idx="9">
                  <c:v>-3.979769393993112</c:v>
                </c:pt>
                <c:pt idx="10">
                  <c:v>-1.1433607809824879</c:v>
                </c:pt>
                <c:pt idx="11">
                  <c:v>1.2232149123572587</c:v>
                </c:pt>
                <c:pt idx="12">
                  <c:v>2.8700696508811085</c:v>
                </c:pt>
                <c:pt idx="13">
                  <c:v>3.6272728222115367</c:v>
                </c:pt>
                <c:pt idx="14">
                  <c:v>3.4351968808023741</c:v>
                </c:pt>
                <c:pt idx="15">
                  <c:v>2.2161906296617095</c:v>
                </c:pt>
                <c:pt idx="16">
                  <c:v>0.41772003944053299</c:v>
                </c:pt>
                <c:pt idx="17">
                  <c:v>-1.7115994972921671</c:v>
                </c:pt>
                <c:pt idx="18">
                  <c:v>-3.7967241644973555</c:v>
                </c:pt>
                <c:pt idx="19">
                  <c:v>-5.4654330914439413</c:v>
                </c:pt>
                <c:pt idx="20">
                  <c:v>-6.4067361706608041</c:v>
                </c:pt>
                <c:pt idx="21">
                  <c:v>-6.3614039658966863</c:v>
                </c:pt>
                <c:pt idx="22">
                  <c:v>-5.2630491632105132</c:v>
                </c:pt>
                <c:pt idx="23">
                  <c:v>-3.222545045970691</c:v>
                </c:pt>
                <c:pt idx="24">
                  <c:v>-9.8611697922150632E-2</c:v>
                </c:pt>
                <c:pt idx="25">
                  <c:v>3.2660129708167638</c:v>
                </c:pt>
                <c:pt idx="26">
                  <c:v>6.8188191126088666</c:v>
                </c:pt>
                <c:pt idx="27">
                  <c:v>10.233283739901765</c:v>
                </c:pt>
                <c:pt idx="28">
                  <c:v>13.175066999232685</c:v>
                </c:pt>
                <c:pt idx="29">
                  <c:v>15.318775261550705</c:v>
                </c:pt>
                <c:pt idx="30">
                  <c:v>16.409515060939913</c:v>
                </c:pt>
                <c:pt idx="31">
                  <c:v>16.017455834376129</c:v>
                </c:pt>
                <c:pt idx="32">
                  <c:v>14.216870539175908</c:v>
                </c:pt>
                <c:pt idx="33">
                  <c:v>11.089498784250033</c:v>
                </c:pt>
                <c:pt idx="34">
                  <c:v>6.9012846826183809</c:v>
                </c:pt>
                <c:pt idx="35">
                  <c:v>2.0819949427257138</c:v>
                </c:pt>
                <c:pt idx="36">
                  <c:v>-3.3119446804536787</c:v>
                </c:pt>
              </c:numCache>
            </c:numRef>
          </c:yVal>
          <c:smooth val="1"/>
        </c:ser>
        <c:axId val="82137856"/>
        <c:axId val="82139392"/>
      </c:scatterChart>
      <c:valAx>
        <c:axId val="82137856"/>
        <c:scaling>
          <c:orientation val="minMax"/>
          <c:max val="25"/>
          <c:min val="-25"/>
        </c:scaling>
        <c:axPos val="b"/>
        <c:majorGridlines>
          <c:spPr>
            <a:ln w="3175">
              <a:solidFill>
                <a:srgbClr val="000000"/>
              </a:solidFill>
              <a:prstDash val="solid"/>
            </a:ln>
          </c:spPr>
        </c:majorGridlines>
        <c:numFmt formatCode="0.0" sourceLinked="0"/>
        <c:majorTickMark val="cross"/>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82139392"/>
        <c:crosses val="autoZero"/>
        <c:crossBetween val="midCat"/>
        <c:majorUnit val="5"/>
        <c:minorUnit val="1"/>
      </c:valAx>
      <c:valAx>
        <c:axId val="82139392"/>
        <c:scaling>
          <c:orientation val="minMax"/>
          <c:max val="18"/>
          <c:min val="-15"/>
        </c:scaling>
        <c:axPos val="l"/>
        <c:majorGridlines>
          <c:spPr>
            <a:ln w="3175">
              <a:solidFill>
                <a:srgbClr val="000000"/>
              </a:solidFill>
              <a:prstDash val="solid"/>
            </a:ln>
          </c:spPr>
        </c:majorGridlines>
        <c:numFmt formatCode="0.0" sourceLinked="0"/>
        <c:majorTickMark val="cross"/>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82137856"/>
        <c:crosses val="autoZero"/>
        <c:crossBetween val="midCat"/>
        <c:majorUnit val="3"/>
        <c:minorUnit val="0.5"/>
      </c:valAx>
      <c:spPr>
        <a:blipFill dpi="0" rotWithShape="0">
          <a:blip xmlns:r="http://schemas.openxmlformats.org/officeDocument/2006/relationships" r:embed="rId1"/>
          <a:srcRect/>
          <a:tile tx="0" ty="0" sx="100000" sy="100000" flip="none" algn="tl"/>
        </a:blipFill>
        <a:ln w="3175">
          <a:solidFill>
            <a:srgbClr val="000000"/>
          </a:solidFill>
          <a:prstDash val="solid"/>
        </a:ln>
      </c:spPr>
    </c:plotArea>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200" b="1" i="0" u="none" strike="noStrike" baseline="0">
                <a:solidFill>
                  <a:srgbClr val="000000"/>
                </a:solidFill>
                <a:latin typeface="Arial"/>
                <a:ea typeface="Arial"/>
                <a:cs typeface="Arial"/>
              </a:defRPr>
            </a:pPr>
            <a:r>
              <a:rPr lang="fr-FR"/>
              <a:t>Design Criteria
 </a:t>
            </a:r>
          </a:p>
        </c:rich>
      </c:tx>
      <c:layout>
        <c:manualLayout>
          <c:xMode val="edge"/>
          <c:yMode val="edge"/>
          <c:x val="0.43400447427293176"/>
          <c:y val="1.9480519480519539E-2"/>
        </c:manualLayout>
      </c:layout>
      <c:spPr>
        <a:noFill/>
        <a:ln w="25400">
          <a:noFill/>
        </a:ln>
      </c:spPr>
    </c:title>
    <c:plotArea>
      <c:layout>
        <c:manualLayout>
          <c:layoutTarget val="inner"/>
          <c:xMode val="edge"/>
          <c:yMode val="edge"/>
          <c:x val="7.1588366890380312E-2"/>
          <c:y val="6.8181818181818177E-2"/>
          <c:w val="0.86577181208054055"/>
          <c:h val="0.868506493506495"/>
        </c:manualLayout>
      </c:layout>
      <c:scatterChart>
        <c:scatterStyle val="smoothMarker"/>
        <c:ser>
          <c:idx val="0"/>
          <c:order val="0"/>
          <c:tx>
            <c:v>Deklination</c:v>
          </c:tx>
          <c:spPr>
            <a:ln w="12700">
              <a:solidFill>
                <a:srgbClr val="000080"/>
              </a:solidFill>
              <a:prstDash val="solid"/>
            </a:ln>
          </c:spPr>
          <c:marker>
            <c:symbol val="diamond"/>
            <c:size val="5"/>
            <c:spPr>
              <a:solidFill>
                <a:srgbClr val="00FFFF"/>
              </a:solidFill>
              <a:ln>
                <a:solidFill>
                  <a:srgbClr val="00008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DATA!$D$63:$D$79</c:f>
              <c:numCache>
                <c:formatCode>0.00</c:formatCode>
                <c:ptCount val="17"/>
                <c:pt idx="0">
                  <c:v>-22.991633987675449</c:v>
                </c:pt>
                <c:pt idx="1">
                  <c:v>-16.7787237985372</c:v>
                </c:pt>
                <c:pt idx="2">
                  <c:v>-7.5430236304308433</c:v>
                </c:pt>
                <c:pt idx="3">
                  <c:v>0.27877382880803792</c:v>
                </c:pt>
                <c:pt idx="4">
                  <c:v>4.5839374477366368</c:v>
                </c:pt>
                <c:pt idx="5">
                  <c:v>15.110734712682955</c:v>
                </c:pt>
                <c:pt idx="6">
                  <c:v>22.068588550280939</c:v>
                </c:pt>
                <c:pt idx="7">
                  <c:v>23.438969739280981</c:v>
                </c:pt>
                <c:pt idx="8">
                  <c:v>23.099576227833481</c:v>
                </c:pt>
                <c:pt idx="9">
                  <c:v>17.987191248733009</c:v>
                </c:pt>
                <c:pt idx="10">
                  <c:v>8.2390404334191629</c:v>
                </c:pt>
                <c:pt idx="11">
                  <c:v>0.27342194351338306</c:v>
                </c:pt>
                <c:pt idx="12">
                  <c:v>-3.2284900689164786</c:v>
                </c:pt>
                <c:pt idx="13">
                  <c:v>-14.462239926466959</c:v>
                </c:pt>
                <c:pt idx="14">
                  <c:v>-21.817154235870575</c:v>
                </c:pt>
                <c:pt idx="15">
                  <c:v>-23.437747056963104</c:v>
                </c:pt>
                <c:pt idx="16">
                  <c:v>-22.991633987675449</c:v>
                </c:pt>
              </c:numCache>
            </c:numRef>
          </c:yVal>
          <c:smooth val="1"/>
        </c:ser>
        <c:ser>
          <c:idx val="2"/>
          <c:order val="1"/>
          <c:tx>
            <c:v>Zeitgleichung</c:v>
          </c:tx>
          <c:spPr>
            <a:ln w="12700">
              <a:solidFill>
                <a:srgbClr val="FFFF00"/>
              </a:solidFill>
              <a:prstDash val="solid"/>
            </a:ln>
          </c:spPr>
          <c:marker>
            <c:symbol val="triangle"/>
            <c:size val="5"/>
            <c:spPr>
              <a:solidFill>
                <a:srgbClr val="FFFF00"/>
              </a:solidFill>
              <a:ln>
                <a:solidFill>
                  <a:srgbClr val="993300"/>
                </a:solidFill>
                <a:prstDash val="solid"/>
              </a:ln>
            </c:spPr>
          </c:marker>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DATA!$E$63:$E$79</c:f>
              <c:numCache>
                <c:formatCode>0.0</c:formatCode>
                <c:ptCount val="17"/>
                <c:pt idx="0">
                  <c:v>-3.536725508672915</c:v>
                </c:pt>
                <c:pt idx="1">
                  <c:v>-13.717905902928857</c:v>
                </c:pt>
                <c:pt idx="2">
                  <c:v>-12.374940920330559</c:v>
                </c:pt>
                <c:pt idx="3">
                  <c:v>-7.2350215468219243</c:v>
                </c:pt>
                <c:pt idx="4">
                  <c:v>-3.9270772509077672</c:v>
                </c:pt>
                <c:pt idx="5">
                  <c:v>2.9011442918658359</c:v>
                </c:pt>
                <c:pt idx="6">
                  <c:v>2.2070852359338602</c:v>
                </c:pt>
                <c:pt idx="7">
                  <c:v>-1.729113557405364</c:v>
                </c:pt>
                <c:pt idx="8">
                  <c:v>-3.8095160546352176</c:v>
                </c:pt>
                <c:pt idx="9">
                  <c:v>-6.332065439363042</c:v>
                </c:pt>
                <c:pt idx="10">
                  <c:v>-3.0974942797341226E-2</c:v>
                </c:pt>
                <c:pt idx="11">
                  <c:v>7.2396130640470115</c:v>
                </c:pt>
                <c:pt idx="12">
                  <c:v>10.292762076215309</c:v>
                </c:pt>
                <c:pt idx="13">
                  <c:v>16.405497459948663</c:v>
                </c:pt>
                <c:pt idx="14">
                  <c:v>11.003752948459946</c:v>
                </c:pt>
                <c:pt idx="15">
                  <c:v>1.9703160936736017</c:v>
                </c:pt>
                <c:pt idx="16">
                  <c:v>-3.536725508672915</c:v>
                </c:pt>
              </c:numCache>
            </c:numRef>
          </c:yVal>
          <c:smooth val="1"/>
        </c:ser>
        <c:axId val="82179584"/>
        <c:axId val="82248448"/>
      </c:scatterChart>
      <c:valAx>
        <c:axId val="82179584"/>
        <c:scaling>
          <c:orientation val="minMax"/>
          <c:max val="370"/>
          <c:min val="1"/>
        </c:scaling>
        <c:axPos val="b"/>
        <c:title>
          <c:tx>
            <c:strRef>
              <c:f>DATA!$C$62</c:f>
              <c:strCache>
                <c:ptCount val="1"/>
                <c:pt idx="0">
                  <c:v>Day (Date)</c:v>
                </c:pt>
              </c:strCache>
            </c:strRef>
          </c:tx>
          <c:layout>
            <c:manualLayout>
              <c:xMode val="edge"/>
              <c:yMode val="edge"/>
              <c:x val="0.46196868008948655"/>
              <c:y val="0.95454545454545614"/>
            </c:manualLayout>
          </c:layout>
          <c:spPr>
            <a:noFill/>
            <a:ln w="25400">
              <a:noFill/>
            </a:ln>
          </c:spPr>
          <c:txPr>
            <a:bodyPr/>
            <a:lstStyle/>
            <a:p>
              <a:pPr>
                <a:defRPr sz="112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82248448"/>
        <c:crosses val="autoZero"/>
        <c:crossBetween val="midCat"/>
        <c:majorUnit val="28"/>
        <c:minorUnit val="7"/>
      </c:valAx>
      <c:valAx>
        <c:axId val="82248448"/>
        <c:scaling>
          <c:orientation val="minMax"/>
        </c:scaling>
        <c:axPos val="l"/>
        <c:majorGridlines>
          <c:spPr>
            <a:ln w="3175">
              <a:solidFill>
                <a:srgbClr val="000000"/>
              </a:solidFill>
              <a:prstDash val="solid"/>
            </a:ln>
          </c:spPr>
        </c:majorGridlines>
        <c:numFmt formatCode="0.00"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fr-FR"/>
          </a:p>
        </c:txPr>
        <c:crossAx val="82179584"/>
        <c:crosses val="autoZero"/>
        <c:crossBetween val="midCat"/>
      </c:valAx>
      <c:spPr>
        <a:solidFill>
          <a:srgbClr val="C0C0C0"/>
        </a:solidFill>
        <a:ln w="12700">
          <a:solidFill>
            <a:srgbClr val="808080"/>
          </a:solidFill>
          <a:prstDash val="solid"/>
        </a:ln>
      </c:spPr>
    </c:plotArea>
    <c:legend>
      <c:legendPos val="r"/>
      <c:layout>
        <c:manualLayout>
          <c:xMode val="edge"/>
          <c:yMode val="edge"/>
          <c:x val="0.6621923937360179"/>
          <c:y val="0.17857142857142907"/>
          <c:w val="0.16666666666666666"/>
          <c:h val="6.6558441558441594E-2"/>
        </c:manualLayout>
      </c:layout>
      <c:spPr>
        <a:solidFill>
          <a:srgbClr val="C0C0C0"/>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fr-FR"/>
  <c:protection/>
  <c:chart>
    <c:title>
      <c:tx>
        <c:rich>
          <a:bodyPr/>
          <a:lstStyle/>
          <a:p>
            <a:pPr>
              <a:defRPr sz="1175" b="1" i="0" u="none" strike="noStrike" baseline="0">
                <a:solidFill>
                  <a:srgbClr val="000000"/>
                </a:solidFill>
                <a:latin typeface="Arial"/>
                <a:ea typeface="Arial"/>
                <a:cs typeface="Arial"/>
              </a:defRPr>
            </a:pPr>
            <a:r>
              <a:rPr lang="fr-FR"/>
              <a:t>    Date Scale
</a:t>
            </a:r>
          </a:p>
        </c:rich>
      </c:tx>
      <c:layout>
        <c:manualLayout>
          <c:xMode val="edge"/>
          <c:yMode val="edge"/>
          <c:x val="0.44166666666666682"/>
          <c:y val="0"/>
        </c:manualLayout>
      </c:layout>
      <c:spPr>
        <a:noFill/>
        <a:ln w="25400">
          <a:noFill/>
        </a:ln>
      </c:spPr>
    </c:title>
    <c:plotArea>
      <c:layout>
        <c:manualLayout>
          <c:layoutTarget val="inner"/>
          <c:xMode val="edge"/>
          <c:yMode val="edge"/>
          <c:x val="9.3750000000000278E-2"/>
          <c:y val="6.2289562289562256E-2"/>
          <c:w val="0.8666666666666667"/>
          <c:h val="0.89057239057239057"/>
        </c:manualLayout>
      </c:layout>
      <c:scatterChart>
        <c:scatterStyle val="smoothMarker"/>
        <c:ser>
          <c:idx val="3"/>
          <c:order val="0"/>
          <c:tx>
            <c:v>Scale for Zodiac</c:v>
          </c:tx>
          <c:spPr>
            <a:ln w="12700">
              <a:solidFill>
                <a:srgbClr val="333399"/>
              </a:solidFill>
              <a:prstDash val="solid"/>
            </a:ln>
          </c:spPr>
          <c:marker>
            <c:symbol val="circle"/>
            <c:size val="4"/>
            <c:spPr>
              <a:solidFill>
                <a:srgbClr val="33CCCC"/>
              </a:solidFill>
              <a:ln>
                <a:solidFill>
                  <a:srgbClr val="333399"/>
                </a:solidFill>
                <a:prstDash val="solid"/>
              </a:ln>
            </c:spPr>
          </c:marker>
          <c:dLbls>
            <c:dLbl>
              <c:idx val="0"/>
              <c:layout>
                <c:manualLayout>
                  <c:x val="-9.0277777777777787E-3"/>
                  <c:y val="-8.2540187527070468E-4"/>
                </c:manualLayout>
              </c:layout>
              <c:dLblPos val="r"/>
              <c:showVal val="1"/>
            </c:dLbl>
            <c:dLbl>
              <c:idx val="1"/>
              <c:layout>
                <c:manualLayout>
                  <c:x val="-1.2310914260717443E-2"/>
                  <c:y val="1.5692533382822043E-2"/>
                </c:manualLayout>
              </c:layout>
              <c:dLblPos val="r"/>
              <c:showVal val="1"/>
            </c:dLbl>
            <c:dLbl>
              <c:idx val="2"/>
              <c:layout>
                <c:manualLayout>
                  <c:x val="-1.2183836395450585E-2"/>
                  <c:y val="3.9659411260461082E-2"/>
                </c:manualLayout>
              </c:layout>
              <c:dLblPos val="r"/>
              <c:showVal val="1"/>
            </c:dLbl>
            <c:dLbl>
              <c:idx val="3"/>
              <c:layout>
                <c:manualLayout>
                  <c:x val="-2.5824256342957121E-2"/>
                  <c:y val="-4.7663511757999974E-2"/>
                </c:manualLayout>
              </c:layout>
              <c:dLblPos val="r"/>
              <c:showVal val="1"/>
            </c:dLbl>
            <c:dLbl>
              <c:idx val="4"/>
              <c:layout>
                <c:manualLayout>
                  <c:x val="-2.2493219597550389E-2"/>
                  <c:y val="-4.7925978949600954E-2"/>
                </c:manualLayout>
              </c:layout>
              <c:dLblPos val="r"/>
              <c:showVal val="1"/>
            </c:dLbl>
            <c:dLbl>
              <c:idx val="5"/>
              <c:layout>
                <c:manualLayout>
                  <c:x val="-3.3578958880140009E-2"/>
                  <c:y val="-2.1264791396025003E-2"/>
                </c:manualLayout>
              </c:layout>
              <c:dLblPos val="r"/>
              <c:showVal val="1"/>
            </c:dLbl>
            <c:dLbl>
              <c:idx val="6"/>
              <c:layout>
                <c:manualLayout>
                  <c:x val="-2.8263342082239844E-2"/>
                  <c:y val="3.3899802928674325E-3"/>
                </c:manualLayout>
              </c:layout>
              <c:dLblPos val="r"/>
              <c:showVal val="1"/>
            </c:dLbl>
            <c:dLbl>
              <c:idx val="7"/>
              <c:layout>
                <c:manualLayout>
                  <c:x val="-2.2112095363079641E-2"/>
                  <c:y val="5.0964589022331926E-3"/>
                </c:manualLayout>
              </c:layout>
              <c:dLblPos val="r"/>
              <c:showVal val="1"/>
            </c:dLbl>
            <c:dLbl>
              <c:idx val="8"/>
              <c:layout>
                <c:manualLayout>
                  <c:x val="-4.9740813648293134E-3"/>
                  <c:y val="2.9961911326740589E-3"/>
                </c:manualLayout>
              </c:layout>
              <c:dLblPos val="r"/>
              <c:showVal val="1"/>
            </c:dLbl>
            <c:dLbl>
              <c:idx val="9"/>
              <c:layout>
                <c:manualLayout>
                  <c:x val="-1.320013123359577E-2"/>
                  <c:y val="-1.0683210053288806E-2"/>
                </c:manualLayout>
              </c:layout>
              <c:dLblPos val="r"/>
              <c:showVal val="1"/>
            </c:dLbl>
            <c:dLbl>
              <c:idx val="10"/>
              <c:layout>
                <c:manualLayout>
                  <c:x val="-1.2051181102362144E-2"/>
                  <c:y val="-4.4729181579575283E-2"/>
                </c:manualLayout>
              </c:layout>
              <c:dLblPos val="r"/>
              <c:showVal val="1"/>
            </c:dLbl>
            <c:dLbl>
              <c:idx val="11"/>
              <c:layout>
                <c:manualLayout>
                  <c:x val="-1.5540354330708661E-2"/>
                  <c:y val="-4.7736330938430958E-2"/>
                </c:manualLayout>
              </c:layout>
              <c:dLblPos val="r"/>
              <c:showVal val="1"/>
            </c:dLbl>
            <c:dLbl>
              <c:idx val="12"/>
              <c:layout>
                <c:manualLayout>
                  <c:x val="-1.6886811023622061E-2"/>
                  <c:y val="4.6675150454677745E-2"/>
                </c:manualLayout>
              </c:layout>
              <c:dLblPos val="r"/>
              <c:showVal val="1"/>
            </c:dLbl>
            <c:dLbl>
              <c:idx val="13"/>
              <c:layout>
                <c:manualLayout>
                  <c:x val="-2.6154636920384874E-2"/>
                  <c:y val="1.4298010728456816E-2"/>
                </c:manualLayout>
              </c:layout>
              <c:dLblPos val="r"/>
              <c:showVal val="1"/>
            </c:dLbl>
            <c:dLbl>
              <c:idx val="14"/>
              <c:layout>
                <c:manualLayout>
                  <c:x val="-2.161526684164481E-2"/>
                  <c:y val="2.7042074286168292E-3"/>
                </c:manualLayout>
              </c:layout>
              <c:dLblPos val="r"/>
              <c:showVal val="1"/>
            </c:dLbl>
            <c:dLbl>
              <c:idx val="15"/>
              <c:layout>
                <c:manualLayout>
                  <c:x val="-2.5880796150481142E-2"/>
                  <c:y val="-1.3056373003879658E-2"/>
                </c:manualLayout>
              </c:layout>
              <c:dLblPos val="r"/>
              <c:showVal val="1"/>
            </c:dLbl>
            <c:dLbl>
              <c:idx val="16"/>
              <c:layout>
                <c:manualLayout>
                  <c:x val="-2.0466316710411204E-2"/>
                  <c:y val="-7.5369619201640977E-3"/>
                </c:manualLayout>
              </c:layout>
              <c:dLblPos val="r"/>
              <c:showVal val="1"/>
            </c:dLbl>
            <c:spPr>
              <a:noFill/>
              <a:ln w="25400">
                <a:noFill/>
              </a:ln>
            </c:spPr>
            <c:txPr>
              <a:bodyPr rot="-5400000" vert="horz"/>
              <a:lstStyle/>
              <a:p>
                <a:pPr algn="ctr">
                  <a:defRPr sz="1075" b="0" i="0" u="none" strike="noStrike" baseline="0">
                    <a:solidFill>
                      <a:srgbClr val="000000"/>
                    </a:solidFill>
                    <a:latin typeface="Arial"/>
                    <a:ea typeface="Arial"/>
                    <a:cs typeface="Arial"/>
                  </a:defRPr>
                </a:pPr>
                <a:endParaRPr lang="fr-FR"/>
              </a:p>
            </c:txPr>
            <c:dLblPos val="r"/>
            <c:showVal val="1"/>
          </c:dLbls>
          <c:xVal>
            <c:numRef>
              <c:f>DATA!$C$63:$C$79</c:f>
              <c:numCache>
                <c:formatCode>0_)</c:formatCode>
                <c:ptCount val="17"/>
                <c:pt idx="0">
                  <c:v>1</c:v>
                </c:pt>
                <c:pt idx="1">
                  <c:v>33</c:v>
                </c:pt>
                <c:pt idx="2">
                  <c:v>60</c:v>
                </c:pt>
                <c:pt idx="3">
                  <c:v>80</c:v>
                </c:pt>
                <c:pt idx="4">
                  <c:v>91</c:v>
                </c:pt>
                <c:pt idx="5">
                  <c:v>121</c:v>
                </c:pt>
                <c:pt idx="6">
                  <c:v>152</c:v>
                </c:pt>
                <c:pt idx="7">
                  <c:v>172</c:v>
                </c:pt>
                <c:pt idx="8">
                  <c:v>182</c:v>
                </c:pt>
                <c:pt idx="9">
                  <c:v>213</c:v>
                </c:pt>
                <c:pt idx="10">
                  <c:v>244</c:v>
                </c:pt>
                <c:pt idx="11">
                  <c:v>265</c:v>
                </c:pt>
                <c:pt idx="12">
                  <c:v>274</c:v>
                </c:pt>
                <c:pt idx="13">
                  <c:v>305</c:v>
                </c:pt>
                <c:pt idx="14">
                  <c:v>335</c:v>
                </c:pt>
                <c:pt idx="15">
                  <c:v>355</c:v>
                </c:pt>
                <c:pt idx="16" formatCode="0">
                  <c:v>366</c:v>
                </c:pt>
              </c:numCache>
            </c:numRef>
          </c:xVal>
          <c:yVal>
            <c:numRef>
              <c:f>DATA!$G$63:$G$79</c:f>
              <c:numCache>
                <c:formatCode>0.000_)</c:formatCode>
                <c:ptCount val="17"/>
                <c:pt idx="0">
                  <c:v>-0.75010650309605309</c:v>
                </c:pt>
                <c:pt idx="1">
                  <c:v>-0.53303151084335931</c:v>
                </c:pt>
                <c:pt idx="2">
                  <c:v>-0.23409353247469095</c:v>
                </c:pt>
                <c:pt idx="3">
                  <c:v>8.6016175890805489E-3</c:v>
                </c:pt>
                <c:pt idx="4">
                  <c:v>0.14173965746864581</c:v>
                </c:pt>
                <c:pt idx="5">
                  <c:v>0.47736000145908242</c:v>
                </c:pt>
                <c:pt idx="6">
                  <c:v>0.71672387265422222</c:v>
                </c:pt>
                <c:pt idx="7">
                  <c:v>0.76644839252787578</c:v>
                </c:pt>
                <c:pt idx="8">
                  <c:v>0.75403981108078588</c:v>
                </c:pt>
                <c:pt idx="9">
                  <c:v>0.57397492352771584</c:v>
                </c:pt>
                <c:pt idx="10">
                  <c:v>0.25598192983973256</c:v>
                </c:pt>
                <c:pt idx="11">
                  <c:v>8.4364816556499762E-3</c:v>
                </c:pt>
                <c:pt idx="12">
                  <c:v>-9.972042901330079E-2</c:v>
                </c:pt>
                <c:pt idx="13">
                  <c:v>-0.4559563236663815</c:v>
                </c:pt>
                <c:pt idx="14">
                  <c:v>-0.70770672544017332</c:v>
                </c:pt>
                <c:pt idx="15">
                  <c:v>-0.76640357612028964</c:v>
                </c:pt>
                <c:pt idx="16" formatCode="0.00">
                  <c:v>-0.75010650309605309</c:v>
                </c:pt>
              </c:numCache>
            </c:numRef>
          </c:yVal>
          <c:smooth val="1"/>
        </c:ser>
        <c:axId val="82277504"/>
        <c:axId val="82279424"/>
      </c:scatterChart>
      <c:valAx>
        <c:axId val="82277504"/>
        <c:scaling>
          <c:orientation val="minMax"/>
          <c:max val="370"/>
          <c:min val="1"/>
        </c:scaling>
        <c:axPos val="b"/>
        <c:title>
          <c:tx>
            <c:strRef>
              <c:f>DATA!$C$62</c:f>
              <c:strCache>
                <c:ptCount val="1"/>
                <c:pt idx="0">
                  <c:v>Day (Date)</c:v>
                </c:pt>
              </c:strCache>
            </c:strRef>
          </c:tx>
          <c:layout>
            <c:manualLayout>
              <c:xMode val="edge"/>
              <c:yMode val="edge"/>
              <c:x val="0.47604166666666681"/>
              <c:y val="0.95959595959595967"/>
            </c:manualLayout>
          </c:layout>
          <c:spPr>
            <a:noFill/>
            <a:ln w="25400">
              <a:noFill/>
            </a:ln>
          </c:spPr>
          <c:txPr>
            <a:bodyPr/>
            <a:lstStyle/>
            <a:p>
              <a:pPr>
                <a:defRPr sz="1075" b="1" i="0" u="none" strike="noStrike" baseline="0">
                  <a:solidFill>
                    <a:srgbClr val="000000"/>
                  </a:solidFill>
                  <a:latin typeface="Arial"/>
                  <a:ea typeface="Arial"/>
                  <a:cs typeface="Arial"/>
                </a:defRPr>
              </a:pPr>
              <a:endParaRPr lang="fr-FR"/>
            </a:p>
          </c:txPr>
        </c:title>
        <c:numFmt formatCode="d/\ mmm" sourceLinked="0"/>
        <c:majorTickMark val="cross"/>
        <c:minorTickMark val="out"/>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82279424"/>
        <c:crosses val="autoZero"/>
        <c:crossBetween val="midCat"/>
        <c:majorUnit val="28"/>
        <c:minorUnit val="7"/>
      </c:valAx>
      <c:valAx>
        <c:axId val="82279424"/>
        <c:scaling>
          <c:orientation val="minMax"/>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fr-FR"/>
                  <a:t>Meter</a:t>
                </a:r>
              </a:p>
            </c:rich>
          </c:tx>
          <c:layout>
            <c:manualLayout>
              <c:xMode val="edge"/>
              <c:yMode val="edge"/>
              <c:x val="8.3333333333333367E-3"/>
              <c:y val="0.46801346801346838"/>
            </c:manualLayout>
          </c:layout>
          <c:spPr>
            <a:noFill/>
            <a:ln w="25400">
              <a:noFill/>
            </a:ln>
          </c:spPr>
        </c:title>
        <c:numFmt formatCode="0.000_)"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fr-FR"/>
          </a:p>
        </c:txPr>
        <c:crossAx val="82277504"/>
        <c:crossesAt val="1"/>
        <c:crossBetween val="midCat"/>
      </c:valAx>
      <c:spPr>
        <a:solidFill>
          <a:srgbClr val="C0C0C0"/>
        </a:solidFill>
        <a:ln w="12700">
          <a:solidFill>
            <a:srgbClr val="808080"/>
          </a:solidFill>
          <a:prstDash val="solid"/>
        </a:ln>
      </c:spPr>
    </c:plotArea>
    <c:plotVisOnly val="1"/>
    <c:dispBlanksAs val="gap"/>
  </c:chart>
  <c:spPr>
    <a:noFill/>
    <a:ln w="9525">
      <a:noFill/>
    </a:ln>
  </c:spPr>
  <c:txPr>
    <a:bodyPr/>
    <a:lstStyle/>
    <a:p>
      <a:pPr>
        <a:defRPr sz="975"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1"/>
  <sheetViews>
    <sheetView zoomScale="124" workbookViewId="0"/>
  </sheetViews>
  <sheetProtection content="1" objects="1"/>
  <pageMargins left="0.78740157499999996" right="0.78740157499999996" top="0.984251969" bottom="0.984251969" header="0.5" footer="0.5"/>
  <pageSetup orientation="landscape" horizontalDpi="300" verticalDpi="300" r:id="rId1"/>
  <headerFooter alignWithMargins="0">
    <oddFooter>&amp;L&amp;"Arial,Standard"&amp;10&amp;F / &amp;A</oddFooter>
  </headerFooter>
  <drawing r:id="rId2"/>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Footer>&amp;L&amp;"Arial,Standard"&amp;10&amp;F / &amp;A</oddFooter>
  </headerFooter>
  <drawing r:id="rId2"/>
</chartsheet>
</file>

<file path=xl/chartsheets/sheet3.xml><?xml version="1.0" encoding="utf-8"?>
<chartsheet xmlns="http://schemas.openxmlformats.org/spreadsheetml/2006/main" xmlns:r="http://schemas.openxmlformats.org/officeDocument/2006/relationships">
  <sheetPr codeName="Diagramm6"/>
  <sheetViews>
    <sheetView zoomScale="105" workbookViewId="0" zoomToFit="1"/>
  </sheetViews>
  <sheetProtection content="1" objects="1"/>
  <pageMargins left="0.78740157499999996" right="0.78740157499999996" top="0.984251969" bottom="0.984251969" header="0.5" footer="0.5"/>
  <pageSetup paperSize="9" orientation="landscape" horizontalDpi="300" verticalDpi="300" r:id="rId1"/>
  <headerFooter alignWithMargins="0"/>
  <drawing r:id="rId2"/>
</chartsheet>
</file>

<file path=xl/chartsheets/sheet4.xml><?xml version="1.0" encoding="utf-8"?>
<chartsheet xmlns="http://schemas.openxmlformats.org/spreadsheetml/2006/main" xmlns:r="http://schemas.openxmlformats.org/officeDocument/2006/relationships">
  <sheetPr codeName="Diagramm5"/>
  <sheetViews>
    <sheetView zoomScale="72" workbookViewId="0"/>
  </sheetViews>
  <sheetProtection content="1" objects="1"/>
  <pageMargins left="0.78740157499999996" right="0.78740157499999996" top="0.984251969" bottom="0.984251969" header="0.5" footer="0.5"/>
  <pageSetup paperSize="9" orientation="landscape" horizontalDpi="300" verticalDpi="300" r:id="rId1"/>
  <headerFooter alignWithMargins="0">
    <oddHeader>&amp;A</oddHeader>
    <oddFooter>&amp;C&amp;"Arial,Standard"&amp;9Page &amp;P&amp;R&amp;"Arial,Standard"&amp;10H. Sonderegger</oddFooter>
  </headerFooter>
  <drawing r:id="rId2"/>
</chartsheet>
</file>

<file path=xl/chartsheets/sheet5.xml><?xml version="1.0" encoding="utf-8"?>
<chartsheet xmlns="http://schemas.openxmlformats.org/spreadsheetml/2006/main" xmlns:r="http://schemas.openxmlformats.org/officeDocument/2006/relationships">
  <sheetPr codeName="Diagramm2"/>
  <sheetViews>
    <sheetView zoomScale="101" workbookViewId="0" zoomToFit="1"/>
  </sheetViews>
  <sheetProtection content="1" objects="1"/>
  <pageMargins left="0.78740157499999996" right="0.78740157499999996" top="0.984251969" bottom="0.984251969" header="0.5" footer="0.5"/>
  <pageSetup orientation="landscape" r:id="rId1"/>
  <headerFooter alignWithMargins="0">
    <oddFooter>&amp;L&amp;"Arial,Standard"&amp;10&amp;F / &amp;A&amp;R&amp;"Arial,Standard"&amp;10R. Bailey</oddFooter>
  </headerFooter>
  <drawing r:id="rId2"/>
</chartsheet>
</file>

<file path=xl/chartsheets/sheet6.xml><?xml version="1.0" encoding="utf-8"?>
<chartsheet xmlns="http://schemas.openxmlformats.org/spreadsheetml/2006/main" xmlns:r="http://schemas.openxmlformats.org/officeDocument/2006/relationships">
  <sheetPr codeName="Diagramm3"/>
  <sheetViews>
    <sheetView zoomScale="104" workbookViewId="0" zoomToFit="1"/>
  </sheetViews>
  <sheetProtection content="1" objects="1"/>
  <pageMargins left="0.78740157499999996" right="0.78740157499999996" top="0.984251969" bottom="0.984251969" header="0.5" footer="0.5"/>
  <pageSetup paperSize="9" orientation="landscape" r:id="rId1"/>
  <headerFooter alignWithMargins="0">
    <oddFooter>&amp;L&amp;"Arial,Standard"&amp;10&amp;F / &amp;A&amp;R&amp;"Arial,Standard"&amp;10R. Bailey</oddFoot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247650</xdr:colOff>
      <xdr:row>0</xdr:row>
      <xdr:rowOff>95250</xdr:rowOff>
    </xdr:from>
    <xdr:to>
      <xdr:col>7</xdr:col>
      <xdr:colOff>571500</xdr:colOff>
      <xdr:row>2</xdr:row>
      <xdr:rowOff>142875</xdr:rowOff>
    </xdr:to>
    <xdr:sp macro="" textlink="">
      <xdr:nvSpPr>
        <xdr:cNvPr id="43010" name="WordArt 2"/>
        <xdr:cNvSpPr>
          <a:spLocks noChangeArrowheads="1" noChangeShapeType="1" noTextEdit="1"/>
        </xdr:cNvSpPr>
      </xdr:nvSpPr>
      <xdr:spPr bwMode="auto">
        <a:xfrm>
          <a:off x="5200650" y="95250"/>
          <a:ext cx="3838575" cy="561975"/>
        </a:xfrm>
        <a:prstGeom prst="rect">
          <a:avLst/>
        </a:prstGeom>
      </xdr:spPr>
      <xdr:txBody>
        <a:bodyPr wrap="none" fromWordArt="1">
          <a:prstTxWarp prst="textPlain">
            <a:avLst>
              <a:gd name="adj" fmla="val 50000"/>
            </a:avLst>
          </a:prstTxWarp>
        </a:bodyPr>
        <a:lstStyle/>
        <a:p>
          <a:pPr algn="ctr" rtl="0"/>
          <a:r>
            <a:rPr lang="fr-FR" sz="18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0.51575</cdr:x>
      <cdr:y>0.6375</cdr:y>
    </cdr:from>
    <cdr:to>
      <cdr:x>0.573</cdr:x>
      <cdr:y>0.68475</cdr:y>
    </cdr:to>
    <cdr:sp macro="" textlink="">
      <cdr:nvSpPr>
        <cdr:cNvPr id="121857" name="Line 1"/>
        <cdr:cNvSpPr>
          <a:spLocks xmlns:a="http://schemas.openxmlformats.org/drawingml/2006/main" noChangeShapeType="1"/>
        </cdr:cNvSpPr>
      </cdr:nvSpPr>
      <cdr:spPr bwMode="auto">
        <a:xfrm xmlns:a="http://schemas.openxmlformats.org/drawingml/2006/main" flipV="1">
          <a:off x="4716018" y="3606879"/>
          <a:ext cx="523494" cy="267334"/>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0.54725</cdr:x>
      <cdr:y>0.43825</cdr:y>
    </cdr:from>
    <cdr:to>
      <cdr:x>0.5775</cdr:x>
      <cdr:y>0.47275</cdr:y>
    </cdr:to>
    <cdr:sp macro="" textlink="">
      <cdr:nvSpPr>
        <cdr:cNvPr id="121858" name="Line 2"/>
        <cdr:cNvSpPr>
          <a:spLocks xmlns:a="http://schemas.openxmlformats.org/drawingml/2006/main" noChangeShapeType="1"/>
        </cdr:cNvSpPr>
      </cdr:nvSpPr>
      <cdr:spPr bwMode="auto">
        <a:xfrm xmlns:a="http://schemas.openxmlformats.org/drawingml/2006/main" flipH="1" flipV="1">
          <a:off x="5004054" y="2479553"/>
          <a:ext cx="276606" cy="195196"/>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0.08425</cdr:x>
      <cdr:y>0.65925</cdr:y>
    </cdr:from>
    <cdr:to>
      <cdr:x>0.11</cdr:x>
      <cdr:y>0.687</cdr:y>
    </cdr:to>
    <cdr:sp macro="" textlink="">
      <cdr:nvSpPr>
        <cdr:cNvPr id="121859" name="Line 3"/>
        <cdr:cNvSpPr>
          <a:spLocks xmlns:a="http://schemas.openxmlformats.org/drawingml/2006/main" noChangeShapeType="1"/>
        </cdr:cNvSpPr>
      </cdr:nvSpPr>
      <cdr:spPr bwMode="auto">
        <a:xfrm xmlns:a="http://schemas.openxmlformats.org/drawingml/2006/main" flipH="1" flipV="1">
          <a:off x="770382" y="3729938"/>
          <a:ext cx="235458" cy="157005"/>
        </a:xfrm>
        <a:prstGeom xmlns:a="http://schemas.openxmlformats.org/drawingml/2006/main" prst="line">
          <a:avLst/>
        </a:prstGeom>
        <a:noFill xmlns:a="http://schemas.openxmlformats.org/drawingml/2006/main"/>
        <a:ln xmlns:a="http://schemas.openxmlformats.org/drawingml/2006/main" w="12700">
          <a:solidFill>
            <a:srgbClr val="000080"/>
          </a:solidFill>
          <a:round/>
          <a:headEnd/>
          <a:tailEnd type="triangle" w="sm" len="med"/>
        </a:ln>
      </cdr:spPr>
    </cdr:sp>
  </cdr:relSizeAnchor>
  <cdr:relSizeAnchor xmlns:cdr="http://schemas.openxmlformats.org/drawingml/2006/chartDrawing">
    <cdr:from>
      <cdr:x>0.35625</cdr:x>
      <cdr:y>0.7845</cdr:y>
    </cdr:from>
    <cdr:to>
      <cdr:x>0.39275</cdr:x>
      <cdr:y>0.81975</cdr:y>
    </cdr:to>
    <cdr:sp macro="" textlink="">
      <cdr:nvSpPr>
        <cdr:cNvPr id="121860" name="Text Box 4"/>
        <cdr:cNvSpPr txBox="1">
          <a:spLocks xmlns:a="http://schemas.openxmlformats.org/drawingml/2006/main" noChangeArrowheads="1"/>
        </cdr:cNvSpPr>
      </cdr:nvSpPr>
      <cdr:spPr bwMode="auto">
        <a:xfrm xmlns:a="http://schemas.openxmlformats.org/drawingml/2006/main">
          <a:off x="3257550" y="4438583"/>
          <a:ext cx="333756"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Mar</a:t>
          </a:r>
        </a:p>
      </cdr:txBody>
    </cdr:sp>
  </cdr:relSizeAnchor>
  <cdr:relSizeAnchor xmlns:cdr="http://schemas.openxmlformats.org/drawingml/2006/chartDrawing">
    <cdr:from>
      <cdr:x>0.77775</cdr:x>
      <cdr:y>0.4375</cdr:y>
    </cdr:from>
    <cdr:to>
      <cdr:x>0.81325</cdr:x>
      <cdr:y>0.47275</cdr:y>
    </cdr:to>
    <cdr:sp macro="" textlink="">
      <cdr:nvSpPr>
        <cdr:cNvPr id="121861" name="Text Box 5"/>
        <cdr:cNvSpPr txBox="1">
          <a:spLocks xmlns:a="http://schemas.openxmlformats.org/drawingml/2006/main" noChangeArrowheads="1"/>
        </cdr:cNvSpPr>
      </cdr:nvSpPr>
      <cdr:spPr bwMode="auto">
        <a:xfrm xmlns:a="http://schemas.openxmlformats.org/drawingml/2006/main">
          <a:off x="7111746" y="2475309"/>
          <a:ext cx="324612" cy="1994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8000"/>
              </a:solidFill>
              <a:latin typeface="Arial"/>
              <a:cs typeface="Arial"/>
            </a:rPr>
            <a:t>Mai</a:t>
          </a:r>
        </a:p>
      </cdr:txBody>
    </cdr:sp>
  </cdr:relSizeAnchor>
  <cdr:relSizeAnchor xmlns:cdr="http://schemas.openxmlformats.org/drawingml/2006/chartDrawing">
    <cdr:from>
      <cdr:x>0.10825</cdr:x>
      <cdr:y>0.6735</cdr:y>
    </cdr:from>
    <cdr:to>
      <cdr:x>0.1615</cdr:x>
      <cdr:y>0.70725</cdr:y>
    </cdr:to>
    <cdr:sp macro="" textlink="">
      <cdr:nvSpPr>
        <cdr:cNvPr id="121862" name="Text Box 6"/>
        <cdr:cNvSpPr txBox="1">
          <a:spLocks xmlns:a="http://schemas.openxmlformats.org/drawingml/2006/main" noChangeArrowheads="1"/>
        </cdr:cNvSpPr>
      </cdr:nvSpPr>
      <cdr:spPr bwMode="auto">
        <a:xfrm xmlns:a="http://schemas.openxmlformats.org/drawingml/2006/main">
          <a:off x="989838" y="3810562"/>
          <a:ext cx="486918" cy="1909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1. Jan</a:t>
          </a:r>
        </a:p>
      </cdr:txBody>
    </cdr:sp>
  </cdr:relSizeAnchor>
  <cdr:relSizeAnchor xmlns:cdr="http://schemas.openxmlformats.org/drawingml/2006/chartDrawing">
    <cdr:from>
      <cdr:x>0.19025</cdr:x>
      <cdr:y>0.83075</cdr:y>
    </cdr:from>
    <cdr:to>
      <cdr:x>0.233</cdr:x>
      <cdr:y>0.86275</cdr:y>
    </cdr:to>
    <cdr:sp macro="" textlink="">
      <cdr:nvSpPr>
        <cdr:cNvPr id="121863" name="Text Box 7"/>
        <cdr:cNvSpPr txBox="1">
          <a:spLocks xmlns:a="http://schemas.openxmlformats.org/drawingml/2006/main" noChangeArrowheads="1"/>
        </cdr:cNvSpPr>
      </cdr:nvSpPr>
      <cdr:spPr bwMode="auto">
        <a:xfrm xmlns:a="http://schemas.openxmlformats.org/drawingml/2006/main">
          <a:off x="1739646" y="4700259"/>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000080"/>
              </a:solidFill>
              <a:latin typeface="Arial"/>
              <a:cs typeface="Arial"/>
            </a:rPr>
            <a:t>Feb</a:t>
          </a:r>
        </a:p>
      </cdr:txBody>
    </cdr:sp>
  </cdr:relSizeAnchor>
  <cdr:relSizeAnchor xmlns:cdr="http://schemas.openxmlformats.org/drawingml/2006/chartDrawing">
    <cdr:from>
      <cdr:x>0.7445</cdr:x>
      <cdr:y>0.7335</cdr:y>
    </cdr:from>
    <cdr:to>
      <cdr:x>0.78725</cdr:x>
      <cdr:y>0.7655</cdr:y>
    </cdr:to>
    <cdr:sp macro="" textlink="">
      <cdr:nvSpPr>
        <cdr:cNvPr id="121864" name="Text Box 8"/>
        <cdr:cNvSpPr txBox="1">
          <a:spLocks xmlns:a="http://schemas.openxmlformats.org/drawingml/2006/main" noChangeArrowheads="1"/>
        </cdr:cNvSpPr>
      </cdr:nvSpPr>
      <cdr:spPr bwMode="auto">
        <a:xfrm xmlns:a="http://schemas.openxmlformats.org/drawingml/2006/main">
          <a:off x="6807708" y="4150033"/>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Aug</a:t>
          </a:r>
        </a:p>
      </cdr:txBody>
    </cdr:sp>
  </cdr:relSizeAnchor>
  <cdr:relSizeAnchor xmlns:cdr="http://schemas.openxmlformats.org/drawingml/2006/chartDrawing">
    <cdr:from>
      <cdr:x>0.8625</cdr:x>
      <cdr:y>0.5365</cdr:y>
    </cdr:from>
    <cdr:to>
      <cdr:x>0.90525</cdr:x>
      <cdr:y>0.5685</cdr:y>
    </cdr:to>
    <cdr:sp macro="" textlink="">
      <cdr:nvSpPr>
        <cdr:cNvPr id="121865" name="Text Box 9"/>
        <cdr:cNvSpPr txBox="1">
          <a:spLocks xmlns:a="http://schemas.openxmlformats.org/drawingml/2006/main" noChangeArrowheads="1"/>
        </cdr:cNvSpPr>
      </cdr:nvSpPr>
      <cdr:spPr bwMode="auto">
        <a:xfrm xmlns:a="http://schemas.openxmlformats.org/drawingml/2006/main">
          <a:off x="7886700" y="3035437"/>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Jun</a:t>
          </a:r>
        </a:p>
      </cdr:txBody>
    </cdr:sp>
  </cdr:relSizeAnchor>
  <cdr:relSizeAnchor xmlns:cdr="http://schemas.openxmlformats.org/drawingml/2006/chartDrawing">
    <cdr:from>
      <cdr:x>0.6245</cdr:x>
      <cdr:y>0.64425</cdr:y>
    </cdr:from>
    <cdr:to>
      <cdr:x>0.66725</cdr:x>
      <cdr:y>0.67625</cdr:y>
    </cdr:to>
    <cdr:sp macro="" textlink="">
      <cdr:nvSpPr>
        <cdr:cNvPr id="121866" name="Text Box 10"/>
        <cdr:cNvSpPr txBox="1">
          <a:spLocks xmlns:a="http://schemas.openxmlformats.org/drawingml/2006/main" noChangeArrowheads="1"/>
        </cdr:cNvSpPr>
      </cdr:nvSpPr>
      <cdr:spPr bwMode="auto">
        <a:xfrm xmlns:a="http://schemas.openxmlformats.org/drawingml/2006/main">
          <a:off x="5710428" y="3645070"/>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339966"/>
              </a:solidFill>
              <a:latin typeface="Arial"/>
              <a:cs typeface="Arial"/>
            </a:rPr>
            <a:t>Apr</a:t>
          </a:r>
        </a:p>
      </cdr:txBody>
    </cdr:sp>
  </cdr:relSizeAnchor>
  <cdr:relSizeAnchor xmlns:cdr="http://schemas.openxmlformats.org/drawingml/2006/chartDrawing">
    <cdr:from>
      <cdr:x>0.61625</cdr:x>
      <cdr:y>0.45175</cdr:y>
    </cdr:from>
    <cdr:to>
      <cdr:x>0.659</cdr:x>
      <cdr:y>0.48375</cdr:y>
    </cdr:to>
    <cdr:sp macro="" textlink="">
      <cdr:nvSpPr>
        <cdr:cNvPr id="121867" name="Text Box 11"/>
        <cdr:cNvSpPr txBox="1">
          <a:spLocks xmlns:a="http://schemas.openxmlformats.org/drawingml/2006/main" noChangeArrowheads="1"/>
        </cdr:cNvSpPr>
      </cdr:nvSpPr>
      <cdr:spPr bwMode="auto">
        <a:xfrm xmlns:a="http://schemas.openxmlformats.org/drawingml/2006/main">
          <a:off x="5634990" y="255593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Sep</a:t>
          </a:r>
        </a:p>
      </cdr:txBody>
    </cdr:sp>
  </cdr:relSizeAnchor>
  <cdr:relSizeAnchor xmlns:cdr="http://schemas.openxmlformats.org/drawingml/2006/chartDrawing">
    <cdr:from>
      <cdr:x>0.85325</cdr:x>
      <cdr:y>0.666</cdr:y>
    </cdr:from>
    <cdr:to>
      <cdr:x>0.896</cdr:x>
      <cdr:y>0.698</cdr:y>
    </cdr:to>
    <cdr:sp macro="" textlink="">
      <cdr:nvSpPr>
        <cdr:cNvPr id="121868" name="Text Box 12"/>
        <cdr:cNvSpPr txBox="1">
          <a:spLocks xmlns:a="http://schemas.openxmlformats.org/drawingml/2006/main" noChangeArrowheads="1"/>
        </cdr:cNvSpPr>
      </cdr:nvSpPr>
      <cdr:spPr bwMode="auto">
        <a:xfrm xmlns:a="http://schemas.openxmlformats.org/drawingml/2006/main">
          <a:off x="7802118" y="3768128"/>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FF6600"/>
              </a:solidFill>
              <a:latin typeface="Arial"/>
              <a:cs typeface="Arial"/>
            </a:rPr>
            <a:t>Jul</a:t>
          </a:r>
        </a:p>
      </cdr:txBody>
    </cdr:sp>
  </cdr:relSizeAnchor>
  <cdr:relSizeAnchor xmlns:cdr="http://schemas.openxmlformats.org/drawingml/2006/chartDrawing">
    <cdr:from>
      <cdr:x>0.0945</cdr:x>
      <cdr:y>0.331</cdr:y>
    </cdr:from>
    <cdr:to>
      <cdr:x>0.13725</cdr:x>
      <cdr:y>0.363</cdr:y>
    </cdr:to>
    <cdr:sp macro="" textlink="">
      <cdr:nvSpPr>
        <cdr:cNvPr id="121869" name="Text Box 13"/>
        <cdr:cNvSpPr txBox="1">
          <a:spLocks xmlns:a="http://schemas.openxmlformats.org/drawingml/2006/main" noChangeArrowheads="1"/>
        </cdr:cNvSpPr>
      </cdr:nvSpPr>
      <cdr:spPr bwMode="auto">
        <a:xfrm xmlns:a="http://schemas.openxmlformats.org/drawingml/2006/main">
          <a:off x="864108" y="1872748"/>
          <a:ext cx="390906" cy="1810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Dez</a:t>
          </a:r>
        </a:p>
      </cdr:txBody>
    </cdr:sp>
  </cdr:relSizeAnchor>
  <cdr:relSizeAnchor xmlns:cdr="http://schemas.openxmlformats.org/drawingml/2006/chartDrawing">
    <cdr:from>
      <cdr:x>0.18475</cdr:x>
      <cdr:y>0.212</cdr:y>
    </cdr:from>
    <cdr:to>
      <cdr:x>0.2275</cdr:x>
      <cdr:y>0.244</cdr:y>
    </cdr:to>
    <cdr:sp macro="" textlink="">
      <cdr:nvSpPr>
        <cdr:cNvPr id="121870" name="Text Box 14"/>
        <cdr:cNvSpPr txBox="1">
          <a:spLocks xmlns:a="http://schemas.openxmlformats.org/drawingml/2006/main" noChangeArrowheads="1"/>
        </cdr:cNvSpPr>
      </cdr:nvSpPr>
      <cdr:spPr bwMode="auto">
        <a:xfrm xmlns:a="http://schemas.openxmlformats.org/drawingml/2006/main">
          <a:off x="1689354" y="1199464"/>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Nov</a:t>
          </a:r>
        </a:p>
      </cdr:txBody>
    </cdr:sp>
  </cdr:relSizeAnchor>
  <cdr:relSizeAnchor xmlns:cdr="http://schemas.openxmlformats.org/drawingml/2006/chartDrawing">
    <cdr:from>
      <cdr:x>0.407</cdr:x>
      <cdr:y>0.23225</cdr:y>
    </cdr:from>
    <cdr:to>
      <cdr:x>0.44975</cdr:x>
      <cdr:y>0.26425</cdr:y>
    </cdr:to>
    <cdr:sp macro="" textlink="">
      <cdr:nvSpPr>
        <cdr:cNvPr id="121871" name="Text Box 15"/>
        <cdr:cNvSpPr txBox="1">
          <a:spLocks xmlns:a="http://schemas.openxmlformats.org/drawingml/2006/main" noChangeArrowheads="1"/>
        </cdr:cNvSpPr>
      </cdr:nvSpPr>
      <cdr:spPr bwMode="auto">
        <a:xfrm xmlns:a="http://schemas.openxmlformats.org/drawingml/2006/main">
          <a:off x="3721608" y="1314036"/>
          <a:ext cx="39090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00" b="1" i="0" u="none" strike="noStrike" baseline="0">
              <a:solidFill>
                <a:srgbClr val="800000"/>
              </a:solidFill>
              <a:latin typeface="Arial"/>
              <a:cs typeface="Arial"/>
            </a:rPr>
            <a:t>Okt</a:t>
          </a:r>
        </a:p>
      </cdr:txBody>
    </cdr:sp>
  </cdr:relSizeAnchor>
  <cdr:relSizeAnchor xmlns:cdr="http://schemas.openxmlformats.org/drawingml/2006/chartDrawing">
    <cdr:from>
      <cdr:x>0.0055</cdr:x>
      <cdr:y>0.46075</cdr:y>
    </cdr:from>
    <cdr:to>
      <cdr:x>0.0295</cdr:x>
      <cdr:y>0.582</cdr:y>
    </cdr:to>
    <cdr:sp macro="" textlink="DATA!$D$62">
      <cdr:nvSpPr>
        <cdr:cNvPr id="121872" name="Text Box 16"/>
        <cdr:cNvSpPr txBox="1">
          <a:spLocks xmlns:a="http://schemas.openxmlformats.org/drawingml/2006/main" noChangeArrowheads="1" noTextEdit="1"/>
        </cdr:cNvSpPr>
      </cdr:nvSpPr>
      <cdr:spPr bwMode="auto">
        <a:xfrm xmlns:a="http://schemas.openxmlformats.org/drawingml/2006/main">
          <a:off x="50292" y="2606854"/>
          <a:ext cx="219456" cy="6860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27432" tIns="0" rIns="0" bIns="22860" anchor="t" upright="1"/>
        <a:lstStyle xmlns:a="http://schemas.openxmlformats.org/drawingml/2006/main"/>
        <a:p xmlns:a="http://schemas.openxmlformats.org/drawingml/2006/main">
          <a:pPr algn="l" rtl="0">
            <a:defRPr sz="1000"/>
          </a:pPr>
          <a:fld id="{9872C6B3-C45B-45EC-983D-04EBB97BBD7E}" type="TxLink">
            <a:rPr lang="fr-FR" sz="1000" b="0" i="0" u="none" strike="noStrike" baseline="0">
              <a:solidFill>
                <a:srgbClr val="000000"/>
              </a:solidFill>
              <a:latin typeface="Arial"/>
              <a:cs typeface="Arial"/>
            </a:rPr>
            <a:pPr algn="l" rtl="0">
              <a:defRPr sz="1000"/>
            </a:pPr>
            <a:t>Declination</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0.47425</cdr:x>
      <cdr:y>0.13525</cdr:y>
    </cdr:from>
    <cdr:to>
      <cdr:x>0.569</cdr:x>
      <cdr:y>0.17225</cdr:y>
    </cdr:to>
    <cdr:sp macro="" textlink="DATA!$E$62">
      <cdr:nvSpPr>
        <cdr:cNvPr id="121873" name="Text Box 17"/>
        <cdr:cNvSpPr txBox="1">
          <a:spLocks xmlns:a="http://schemas.openxmlformats.org/drawingml/2006/main" noChangeArrowheads="1" noTextEdit="1"/>
        </cdr:cNvSpPr>
      </cdr:nvSpPr>
      <cdr:spPr bwMode="auto">
        <a:xfrm xmlns:a="http://schemas.openxmlformats.org/drawingml/2006/main">
          <a:off x="4336542" y="765224"/>
          <a:ext cx="866394" cy="2093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92288BE-FE69-4CF2-A501-B8FB3C052625}" type="TxLink">
            <a:rPr lang="fr-FR" sz="800" b="0" i="0" u="none" strike="noStrike" baseline="0">
              <a:solidFill>
                <a:srgbClr val="000000"/>
              </a:solidFill>
              <a:latin typeface="Arial"/>
              <a:cs typeface="Arial"/>
            </a:rPr>
            <a:pPr algn="l" rtl="0">
              <a:defRPr sz="1000"/>
            </a:pPr>
            <a:t> EQT [min.]</a:t>
          </a:fld>
          <a:endParaRPr lang="fr-FR" sz="800" b="0" i="0" u="none" strike="noStrike" baseline="0">
            <a:solidFill>
              <a:srgbClr val="000000"/>
            </a:solidFill>
            <a:latin typeface="Arial"/>
            <a:cs typeface="Arial"/>
          </a:endParaRPr>
        </a:p>
      </cdr:txBody>
    </cdr:sp>
  </cdr:relSizeAnchor>
  <cdr:relSizeAnchor xmlns:cdr="http://schemas.openxmlformats.org/drawingml/2006/chartDrawing">
    <cdr:from>
      <cdr:x>0.6245</cdr:x>
      <cdr:y>0.003</cdr:y>
    </cdr:from>
    <cdr:to>
      <cdr:x>0.68275</cdr:x>
      <cdr:y>0.04</cdr:y>
    </cdr:to>
    <cdr:sp macro="" textlink="DATA!$D$12">
      <cdr:nvSpPr>
        <cdr:cNvPr id="121874" name="Text Box 18"/>
        <cdr:cNvSpPr txBox="1">
          <a:spLocks xmlns:a="http://schemas.openxmlformats.org/drawingml/2006/main" noChangeArrowheads="1" noTextEdit="1"/>
        </cdr:cNvSpPr>
      </cdr:nvSpPr>
      <cdr:spPr bwMode="auto">
        <a:xfrm xmlns:a="http://schemas.openxmlformats.org/drawingml/2006/main">
          <a:off x="5710428" y="16974"/>
          <a:ext cx="532638" cy="209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27432" anchor="ctr" upright="1"/>
        <a:lstStyle xmlns:a="http://schemas.openxmlformats.org/drawingml/2006/main"/>
        <a:p xmlns:a="http://schemas.openxmlformats.org/drawingml/2006/main">
          <a:pPr algn="l" rtl="0">
            <a:defRPr sz="1000"/>
          </a:pPr>
          <a:fld id="{D091DC30-EB3C-4450-8EB7-EF58F9C06A6E}" type="TxLink">
            <a:rPr lang="fr-FR" sz="1200" b="1" i="0" u="none" strike="noStrike" baseline="0">
              <a:solidFill>
                <a:srgbClr val="000000"/>
              </a:solidFill>
              <a:latin typeface="Arial"/>
              <a:cs typeface="Arial"/>
            </a:rPr>
            <a:pPr algn="l" rtl="0">
              <a:defRPr sz="1000"/>
            </a:pPr>
            <a:t>2013</a:t>
          </a:fld>
          <a:endParaRPr lang="fr-FR" sz="1200" b="1" i="0" u="none" strike="noStrike" baseline="0">
            <a:solidFill>
              <a:srgbClr val="000000"/>
            </a:solidFill>
            <a:latin typeface="Arial"/>
            <a:cs typeface="Arial"/>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0.04725</cdr:x>
      <cdr:y>0.79</cdr:y>
    </cdr:from>
    <cdr:to>
      <cdr:x>0.07175</cdr:x>
      <cdr:y>0.8175</cdr:y>
    </cdr:to>
    <cdr:sp macro="" textlink="">
      <cdr:nvSpPr>
        <cdr:cNvPr id="3079" name="Text Box 7"/>
        <cdr:cNvSpPr txBox="1">
          <a:spLocks xmlns:a="http://schemas.openxmlformats.org/drawingml/2006/main" noChangeArrowheads="1"/>
        </cdr:cNvSpPr>
      </cdr:nvSpPr>
      <cdr:spPr bwMode="auto">
        <a:xfrm xmlns:a="http://schemas.openxmlformats.org/drawingml/2006/main">
          <a:off x="402350" y="4635246"/>
          <a:ext cx="208626" cy="1613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Jan</a:t>
          </a:r>
        </a:p>
      </cdr:txBody>
    </cdr:sp>
  </cdr:relSizeAnchor>
  <cdr:relSizeAnchor xmlns:cdr="http://schemas.openxmlformats.org/drawingml/2006/chartDrawing">
    <cdr:from>
      <cdr:x>0.31725</cdr:x>
      <cdr:y>0.3105</cdr:y>
    </cdr:from>
    <cdr:to>
      <cdr:x>0.324</cdr:x>
      <cdr:y>0.338</cdr:y>
    </cdr:to>
    <cdr:sp macro="" textlink="">
      <cdr:nvSpPr>
        <cdr:cNvPr id="3085" name="Text Box 13"/>
        <cdr:cNvSpPr txBox="1">
          <a:spLocks xmlns:a="http://schemas.openxmlformats.org/drawingml/2006/main" noChangeArrowheads="1"/>
        </cdr:cNvSpPr>
      </cdr:nvSpPr>
      <cdr:spPr bwMode="auto">
        <a:xfrm xmlns:a="http://schemas.openxmlformats.org/drawingml/2006/main">
          <a:off x="2701495" y="1821828"/>
          <a:ext cx="57478" cy="161353"/>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userShapes>
</file>

<file path=xl/drawings/drawing1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15350" cy="5867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0.6175</cdr:x>
      <cdr:y>0.18875</cdr:y>
    </cdr:from>
    <cdr:to>
      <cdr:x>0.6265</cdr:x>
      <cdr:y>0.22275</cdr:y>
    </cdr:to>
    <cdr:sp macro="" textlink="">
      <cdr:nvSpPr>
        <cdr:cNvPr id="2049" name="Text Box 1"/>
        <cdr:cNvSpPr txBox="1">
          <a:spLocks xmlns:a="http://schemas.openxmlformats.org/drawingml/2006/main" noChangeArrowheads="1"/>
        </cdr:cNvSpPr>
      </cdr:nvSpPr>
      <cdr:spPr bwMode="auto">
        <a:xfrm xmlns:a="http://schemas.openxmlformats.org/drawingml/2006/main">
          <a:off x="5258229" y="1107472"/>
          <a:ext cx="76638"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0.74475</cdr:y>
    </cdr:from>
    <cdr:to>
      <cdr:x>0.644</cdr:x>
      <cdr:y>0.77875</cdr:y>
    </cdr:to>
    <cdr:sp macro="" textlink="">
      <cdr:nvSpPr>
        <cdr:cNvPr id="2051" name="Text Box 3"/>
        <cdr:cNvSpPr txBox="1">
          <a:spLocks xmlns:a="http://schemas.openxmlformats.org/drawingml/2006/main" noChangeArrowheads="1"/>
        </cdr:cNvSpPr>
      </cdr:nvSpPr>
      <cdr:spPr bwMode="auto">
        <a:xfrm xmlns:a="http://schemas.openxmlformats.org/drawingml/2006/main">
          <a:off x="540724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0.53825</cdr:x>
      <cdr:y>0.74475</cdr:y>
    </cdr:from>
    <cdr:to>
      <cdr:x>0.54725</cdr:x>
      <cdr:y>0.77875</cdr:y>
    </cdr:to>
    <cdr:sp macro="" textlink="">
      <cdr:nvSpPr>
        <cdr:cNvPr id="2052" name="Text Box 4"/>
        <cdr:cNvSpPr txBox="1">
          <a:spLocks xmlns:a="http://schemas.openxmlformats.org/drawingml/2006/main" noChangeArrowheads="1"/>
        </cdr:cNvSpPr>
      </cdr:nvSpPr>
      <cdr:spPr bwMode="auto">
        <a:xfrm xmlns:a="http://schemas.openxmlformats.org/drawingml/2006/main">
          <a:off x="4583387" y="4369746"/>
          <a:ext cx="76638" cy="199492"/>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0.635</cdr:x>
      <cdr:y>0.32925</cdr:y>
    </cdr:from>
    <cdr:to>
      <cdr:x>0.65224</cdr:x>
      <cdr:y>0.35579</cdr:y>
    </cdr:to>
    <cdr:sp macro="" textlink="DATA!$M$11">
      <cdr:nvSpPr>
        <cdr:cNvPr id="2053" name="Text Box 5"/>
        <cdr:cNvSpPr txBox="1">
          <a:spLocks xmlns:a="http://schemas.openxmlformats.org/drawingml/2006/main" noChangeArrowheads="1" noTextEdit="1"/>
        </cdr:cNvSpPr>
      </cdr:nvSpPr>
      <cdr:spPr bwMode="auto">
        <a:xfrm xmlns:a="http://schemas.openxmlformats.org/drawingml/2006/main">
          <a:off x="5407247" y="193184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194DFFA-1F76-49E7-B380-B9BF13A766D3}" type="TxLink">
            <a:rPr lang="fr-FR" sz="900" b="1" i="0" u="none" strike="noStrike" baseline="0">
              <a:solidFill>
                <a:srgbClr val="333399"/>
              </a:solidFill>
              <a:latin typeface="Arial"/>
              <a:cs typeface="Arial"/>
            </a:rPr>
            <a:pPr algn="l" rtl="0">
              <a:defRPr sz="1000"/>
            </a:pPr>
            <a:t>14</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0.69675</cdr:x>
      <cdr:y>0.375</cdr:y>
    </cdr:from>
    <cdr:to>
      <cdr:x>0.71399</cdr:x>
      <cdr:y>0.40154</cdr:y>
    </cdr:to>
    <cdr:sp macro="" textlink="DATA!$M$12">
      <cdr:nvSpPr>
        <cdr:cNvPr id="2054" name="Text Box 6"/>
        <cdr:cNvSpPr txBox="1">
          <a:spLocks xmlns:a="http://schemas.openxmlformats.org/drawingml/2006/main" noChangeArrowheads="1" noTextEdit="1"/>
        </cdr:cNvSpPr>
      </cdr:nvSpPr>
      <cdr:spPr bwMode="auto">
        <a:xfrm xmlns:a="http://schemas.openxmlformats.org/drawingml/2006/main">
          <a:off x="5933070" y="220027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891364D-552A-4824-BC4E-0A076E81EB9A}" type="TxLink">
            <a:rPr lang="fr-FR" sz="900" b="1" i="0" u="none" strike="noStrike" baseline="0">
              <a:solidFill>
                <a:srgbClr val="333399"/>
              </a:solidFill>
              <a:latin typeface="Arial"/>
              <a:cs typeface="Arial"/>
            </a:rPr>
            <a:pPr algn="l" rtl="0">
              <a:defRPr sz="1000"/>
            </a:pPr>
            <a:t>15</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0.7515</cdr:x>
      <cdr:y>0.44975</cdr:y>
    </cdr:from>
    <cdr:to>
      <cdr:x>0.76874</cdr:x>
      <cdr:y>0.47629</cdr:y>
    </cdr:to>
    <cdr:sp macro="" textlink="DATA!$M$13">
      <cdr:nvSpPr>
        <cdr:cNvPr id="2055" name="Text Box 7"/>
        <cdr:cNvSpPr txBox="1">
          <a:spLocks xmlns:a="http://schemas.openxmlformats.org/drawingml/2006/main" noChangeArrowheads="1" noTextEdit="1"/>
        </cdr:cNvSpPr>
      </cdr:nvSpPr>
      <cdr:spPr bwMode="auto">
        <a:xfrm xmlns:a="http://schemas.openxmlformats.org/drawingml/2006/main">
          <a:off x="6399286" y="263886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5F9DA6D-BF87-4C69-84AC-D9D31CD8D4C4}" type="TxLink">
            <a:rPr lang="fr-FR" sz="900" b="1" i="0" u="none" strike="noStrike" baseline="0">
              <a:solidFill>
                <a:srgbClr val="333399"/>
              </a:solidFill>
              <a:latin typeface="Arial"/>
              <a:cs typeface="Arial"/>
            </a:rPr>
            <a:pPr algn="l" rtl="0">
              <a:defRPr sz="1000"/>
            </a:pPr>
            <a:t>16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0.534</cdr:y>
    </cdr:from>
    <cdr:to>
      <cdr:x>0.80799</cdr:x>
      <cdr:y>0.56054</cdr:y>
    </cdr:to>
    <cdr:sp macro="" textlink="DATA!$M$14">
      <cdr:nvSpPr>
        <cdr:cNvPr id="2056" name="Text Box 8"/>
        <cdr:cNvSpPr txBox="1">
          <a:spLocks xmlns:a="http://schemas.openxmlformats.org/drawingml/2006/main" noChangeArrowheads="1" noTextEdit="1"/>
        </cdr:cNvSpPr>
      </cdr:nvSpPr>
      <cdr:spPr bwMode="auto">
        <a:xfrm xmlns:a="http://schemas.openxmlformats.org/drawingml/2006/main">
          <a:off x="6733513" y="313319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7B40EED6-C2FF-4CF5-8E2F-795BDE4AD8C0}" type="TxLink">
            <a:rPr lang="fr-FR" sz="900" b="1" i="0" u="none" strike="noStrike" baseline="0">
              <a:solidFill>
                <a:srgbClr val="333399"/>
              </a:solidFill>
              <a:latin typeface="Arial"/>
              <a:cs typeface="Arial"/>
            </a:rPr>
            <a:pPr algn="l" rtl="0">
              <a:defRPr sz="1000"/>
            </a:pPr>
            <a:t>17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0.7995</cdr:x>
      <cdr:y>0.6105</cdr:y>
    </cdr:from>
    <cdr:to>
      <cdr:x>0.81674</cdr:x>
      <cdr:y>0.63704</cdr:y>
    </cdr:to>
    <cdr:sp macro="" textlink="DATA!$M$15">
      <cdr:nvSpPr>
        <cdr:cNvPr id="2057" name="Text Box 9"/>
        <cdr:cNvSpPr txBox="1">
          <a:spLocks xmlns:a="http://schemas.openxmlformats.org/drawingml/2006/main" noChangeArrowheads="1" noTextEdit="1"/>
        </cdr:cNvSpPr>
      </cdr:nvSpPr>
      <cdr:spPr bwMode="auto">
        <a:xfrm xmlns:a="http://schemas.openxmlformats.org/drawingml/2006/main">
          <a:off x="6808022" y="3582048"/>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AB040E3-0CF9-4976-ABB2-177D75B9BD7B}" type="TxLink">
            <a:rPr lang="fr-FR" sz="900" b="1" i="0" u="none" strike="noStrike" baseline="0">
              <a:solidFill>
                <a:srgbClr val="333399"/>
              </a:solidFill>
              <a:latin typeface="Arial"/>
              <a:cs typeface="Arial"/>
            </a:rPr>
            <a:pPr algn="l" rtl="0">
              <a:defRPr sz="1000"/>
            </a:pPr>
            <a:t>18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0.79075</cdr:x>
      <cdr:y>0.699</cdr:y>
    </cdr:from>
    <cdr:to>
      <cdr:x>0.80799</cdr:x>
      <cdr:y>0.72554</cdr:y>
    </cdr:to>
    <cdr:sp macro="" textlink="DATA!$M$16">
      <cdr:nvSpPr>
        <cdr:cNvPr id="2058" name="Text Box 10"/>
        <cdr:cNvSpPr txBox="1">
          <a:spLocks xmlns:a="http://schemas.openxmlformats.org/drawingml/2006/main" noChangeArrowheads="1" noTextEdit="1"/>
        </cdr:cNvSpPr>
      </cdr:nvSpPr>
      <cdr:spPr bwMode="auto">
        <a:xfrm xmlns:a="http://schemas.openxmlformats.org/drawingml/2006/main">
          <a:off x="6733513" y="4101313"/>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EFF4D467-5315-4259-A7E2-7163EF84EDC6}" type="TxLink">
            <a:rPr lang="fr-FR" sz="900" b="1" i="0" u="none" strike="noStrike" baseline="0">
              <a:solidFill>
                <a:srgbClr val="333399"/>
              </a:solidFill>
              <a:latin typeface="Arial"/>
              <a:cs typeface="Arial"/>
            </a:rPr>
            <a:pPr algn="l" rtl="0">
              <a:defRPr sz="1000"/>
            </a:pPr>
            <a:t>19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0.55975</cdr:x>
      <cdr:y>0.30225</cdr:y>
    </cdr:from>
    <cdr:to>
      <cdr:x>0.57699</cdr:x>
      <cdr:y>0.32879</cdr:y>
    </cdr:to>
    <cdr:sp macro="" textlink="DATA!$M$10">
      <cdr:nvSpPr>
        <cdr:cNvPr id="2060" name="Text Box 12"/>
        <cdr:cNvSpPr txBox="1">
          <a:spLocks xmlns:a="http://schemas.openxmlformats.org/drawingml/2006/main" noChangeArrowheads="1" noTextEdit="1"/>
        </cdr:cNvSpPr>
      </cdr:nvSpPr>
      <cdr:spPr bwMode="auto">
        <a:xfrm xmlns:a="http://schemas.openxmlformats.org/drawingml/2006/main">
          <a:off x="4766467" y="1773422"/>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DB241D7-107F-49BD-81CC-7290D6F7A23D}" type="TxLink">
            <a:rPr lang="fr-FR" sz="900" b="1" i="0" u="none" strike="noStrike" baseline="0">
              <a:solidFill>
                <a:srgbClr val="333399"/>
              </a:solidFill>
              <a:latin typeface="Arial"/>
              <a:cs typeface="Arial"/>
            </a:rPr>
            <a:pPr algn="l" rtl="0">
              <a:defRPr sz="1000"/>
            </a:pPr>
            <a:t>13</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0.46975</cdr:x>
      <cdr:y>0.29875</cdr:y>
    </cdr:from>
    <cdr:to>
      <cdr:x>0.491</cdr:x>
      <cdr:y>0.3295</cdr:y>
    </cdr:to>
    <cdr:sp macro="" textlink="">
      <cdr:nvSpPr>
        <cdr:cNvPr id="2061" name="Text Box 13"/>
        <cdr:cNvSpPr txBox="1">
          <a:spLocks xmlns:a="http://schemas.openxmlformats.org/drawingml/2006/main" noChangeArrowheads="1"/>
        </cdr:cNvSpPr>
      </cdr:nvSpPr>
      <cdr:spPr bwMode="auto">
        <a:xfrm xmlns:a="http://schemas.openxmlformats.org/drawingml/2006/main">
          <a:off x="4000086" y="1752886"/>
          <a:ext cx="180951"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900" b="1" i="0" u="none" strike="noStrike" baseline="0">
              <a:solidFill>
                <a:srgbClr val="333399"/>
              </a:solidFill>
              <a:latin typeface="Arial"/>
              <a:cs typeface="Arial"/>
            </a:rPr>
            <a:t>12</a:t>
          </a:r>
        </a:p>
      </cdr:txBody>
    </cdr:sp>
  </cdr:relSizeAnchor>
  <cdr:relSizeAnchor xmlns:cdr="http://schemas.openxmlformats.org/drawingml/2006/chartDrawing">
    <cdr:from>
      <cdr:x>0.3855</cdr:x>
      <cdr:y>0.3075</cdr:y>
    </cdr:from>
    <cdr:to>
      <cdr:x>0.40274</cdr:x>
      <cdr:y>0.33404</cdr:y>
    </cdr:to>
    <cdr:sp macro="" textlink="DATA!$M$8">
      <cdr:nvSpPr>
        <cdr:cNvPr id="2062" name="Text Box 14"/>
        <cdr:cNvSpPr txBox="1">
          <a:spLocks xmlns:a="http://schemas.openxmlformats.org/drawingml/2006/main" noChangeArrowheads="1" noTextEdit="1"/>
        </cdr:cNvSpPr>
      </cdr:nvSpPr>
      <cdr:spPr bwMode="auto">
        <a:xfrm xmlns:a="http://schemas.openxmlformats.org/drawingml/2006/main">
          <a:off x="3282667" y="1804225"/>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0F2F9FDB-6463-4682-BAC9-0B6F214B87F7}" type="TxLink">
            <a:rPr lang="fr-FR" sz="900" b="1" i="0" u="none" strike="noStrike" baseline="0">
              <a:solidFill>
                <a:srgbClr val="333399"/>
              </a:solidFill>
              <a:latin typeface="Arial"/>
              <a:cs typeface="Arial"/>
            </a:rPr>
            <a:pPr algn="l" rtl="0">
              <a:defRPr sz="1000"/>
            </a:pPr>
            <a:t>11</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0.319</cdr:x>
      <cdr:y>0.33725</cdr:y>
    </cdr:from>
    <cdr:to>
      <cdr:x>0.33624</cdr:x>
      <cdr:y>0.36379</cdr:y>
    </cdr:to>
    <cdr:sp macro="" textlink="DATA!$M$7">
      <cdr:nvSpPr>
        <cdr:cNvPr id="2063" name="Text Box 15"/>
        <cdr:cNvSpPr txBox="1">
          <a:spLocks xmlns:a="http://schemas.openxmlformats.org/drawingml/2006/main" noChangeArrowheads="1" noTextEdit="1"/>
        </cdr:cNvSpPr>
      </cdr:nvSpPr>
      <cdr:spPr bwMode="auto">
        <a:xfrm xmlns:a="http://schemas.openxmlformats.org/drawingml/2006/main">
          <a:off x="2716397" y="1978781"/>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621C4364-2CD2-4359-B370-900929DBD3AA}" type="TxLink">
            <a:rPr lang="fr-FR" sz="900" b="1" i="0" u="none" strike="noStrike" baseline="0">
              <a:solidFill>
                <a:srgbClr val="333399"/>
              </a:solidFill>
              <a:latin typeface="Arial"/>
              <a:cs typeface="Arial"/>
            </a:rPr>
            <a:pPr algn="l" rtl="0">
              <a:defRPr sz="1000"/>
            </a:pPr>
            <a:t>10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0.26425</cdr:x>
      <cdr:y>0.38025</cdr:y>
    </cdr:from>
    <cdr:to>
      <cdr:x>0.27396</cdr:x>
      <cdr:y>0.40679</cdr:y>
    </cdr:to>
    <cdr:sp macro="" textlink="DATA!$M$6">
      <cdr:nvSpPr>
        <cdr:cNvPr id="2064" name="Text Box 16"/>
        <cdr:cNvSpPr txBox="1">
          <a:spLocks xmlns:a="http://schemas.openxmlformats.org/drawingml/2006/main" noChangeArrowheads="1" noTextEdit="1"/>
        </cdr:cNvSpPr>
      </cdr:nvSpPr>
      <cdr:spPr bwMode="auto">
        <a:xfrm xmlns:a="http://schemas.openxmlformats.org/drawingml/2006/main">
          <a:off x="2250181" y="2231079"/>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0093029-4671-46FE-ACF6-BC6EAFDFCD15}" type="TxLink">
            <a:rPr lang="fr-FR" sz="900" b="1" i="0" u="none" strike="noStrike" baseline="0">
              <a:solidFill>
                <a:srgbClr val="333399"/>
              </a:solidFill>
              <a:latin typeface="Arial"/>
              <a:cs typeface="Arial"/>
            </a:rPr>
            <a:pPr algn="l" rtl="0">
              <a:defRPr sz="1000"/>
            </a:pPr>
            <a:t>9</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0.21725</cdr:x>
      <cdr:y>0.44975</cdr:y>
    </cdr:from>
    <cdr:to>
      <cdr:x>0.22696</cdr:x>
      <cdr:y>0.47629</cdr:y>
    </cdr:to>
    <cdr:sp macro="" textlink="DATA!$M$5">
      <cdr:nvSpPr>
        <cdr:cNvPr id="2065" name="Text Box 17"/>
        <cdr:cNvSpPr txBox="1">
          <a:spLocks xmlns:a="http://schemas.openxmlformats.org/drawingml/2006/main" noChangeArrowheads="1" noTextEdit="1"/>
        </cdr:cNvSpPr>
      </cdr:nvSpPr>
      <cdr:spPr bwMode="auto">
        <a:xfrm xmlns:a="http://schemas.openxmlformats.org/drawingml/2006/main">
          <a:off x="1849960" y="2638863"/>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D582CEBC-0919-42B9-9728-9D28ADDB11B3}" type="TxLink">
            <a:rPr lang="fr-FR" sz="900" b="1" i="0" u="none" strike="noStrike" baseline="0">
              <a:solidFill>
                <a:srgbClr val="333399"/>
              </a:solidFill>
              <a:latin typeface="Arial"/>
              <a:cs typeface="Arial"/>
            </a:rPr>
            <a:pPr algn="l" rtl="0">
              <a:defRPr sz="1000"/>
            </a:pPr>
            <a:t>8</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0.185</cdr:x>
      <cdr:y>0.52425</cdr:y>
    </cdr:from>
    <cdr:to>
      <cdr:x>0.19471</cdr:x>
      <cdr:y>0.55079</cdr:y>
    </cdr:to>
    <cdr:sp macro="" textlink="DATA!$M$4">
      <cdr:nvSpPr>
        <cdr:cNvPr id="2066" name="Text Box 18"/>
        <cdr:cNvSpPr txBox="1">
          <a:spLocks xmlns:a="http://schemas.openxmlformats.org/drawingml/2006/main" noChangeArrowheads="1" noTextEdit="1"/>
        </cdr:cNvSpPr>
      </cdr:nvSpPr>
      <cdr:spPr bwMode="auto">
        <a:xfrm xmlns:a="http://schemas.openxmlformats.org/drawingml/2006/main">
          <a:off x="1575340" y="307598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BB8E2BD-15BE-44CE-8BF8-08AB7D258B3E}" type="TxLink">
            <a:rPr lang="fr-FR" sz="900" b="1" i="0" u="none" strike="noStrike" baseline="0">
              <a:solidFill>
                <a:srgbClr val="333399"/>
              </a:solidFill>
              <a:latin typeface="Arial"/>
              <a:cs typeface="Arial"/>
            </a:rPr>
            <a:pPr algn="l" rtl="0">
              <a:defRPr sz="1000"/>
            </a:pPr>
            <a:t>7</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0.16825</cdr:x>
      <cdr:y>0.60525</cdr:y>
    </cdr:from>
    <cdr:to>
      <cdr:x>0.17796</cdr:x>
      <cdr:y>0.63179</cdr:y>
    </cdr:to>
    <cdr:sp macro="" textlink="DATA!$M$3">
      <cdr:nvSpPr>
        <cdr:cNvPr id="2067" name="Text Box 19"/>
        <cdr:cNvSpPr txBox="1">
          <a:spLocks xmlns:a="http://schemas.openxmlformats.org/drawingml/2006/main" noChangeArrowheads="1" noTextEdit="1"/>
        </cdr:cNvSpPr>
      </cdr:nvSpPr>
      <cdr:spPr bwMode="auto">
        <a:xfrm xmlns:a="http://schemas.openxmlformats.org/drawingml/2006/main">
          <a:off x="1432708" y="3551244"/>
          <a:ext cx="82651"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68F1B7B-EE8E-4085-BA25-5D0BD94C4ABF}" type="TxLink">
            <a:rPr lang="fr-FR" sz="900" b="1" i="0" u="none" strike="noStrike" baseline="0">
              <a:solidFill>
                <a:srgbClr val="333399"/>
              </a:solidFill>
              <a:latin typeface="Arial"/>
              <a:cs typeface="Arial"/>
            </a:rPr>
            <a:pPr algn="l" rtl="0">
              <a:defRPr sz="1000"/>
            </a:pPr>
            <a:t>6</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0.76925</cdr:x>
      <cdr:y>0.7755</cdr:y>
    </cdr:from>
    <cdr:to>
      <cdr:x>0.78649</cdr:x>
      <cdr:y>0.80204</cdr:y>
    </cdr:to>
    <cdr:sp macro="" textlink="DATA!$M$17">
      <cdr:nvSpPr>
        <cdr:cNvPr id="2068" name="Text Box 20"/>
        <cdr:cNvSpPr txBox="1">
          <a:spLocks xmlns:a="http://schemas.openxmlformats.org/drawingml/2006/main" noChangeArrowheads="1" noTextEdit="1"/>
        </cdr:cNvSpPr>
      </cdr:nvSpPr>
      <cdr:spPr bwMode="auto">
        <a:xfrm xmlns:a="http://schemas.openxmlformats.org/drawingml/2006/main">
          <a:off x="6550433" y="4550169"/>
          <a:ext cx="146835" cy="155748"/>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80E5F0D9-A682-4336-A5A4-7A1940AB6E76}" type="TxLink">
            <a:rPr lang="fr-FR" sz="900" b="1" i="0" u="none" strike="noStrike" baseline="0">
              <a:solidFill>
                <a:srgbClr val="333399"/>
              </a:solidFill>
              <a:latin typeface="Arial"/>
              <a:cs typeface="Arial"/>
            </a:rPr>
            <a:pPr algn="l" rtl="0">
              <a:defRPr sz="1000"/>
            </a:pPr>
            <a:t>20</a:t>
          </a:fld>
          <a:endParaRPr lang="fr-FR" sz="900" b="1" i="0" u="none" strike="noStrike" baseline="0">
            <a:solidFill>
              <a:srgbClr val="333399"/>
            </a:solidFill>
            <a:latin typeface="Arial"/>
            <a:cs typeface="Arial"/>
          </a:endParaRPr>
        </a:p>
      </cdr:txBody>
    </cdr:sp>
  </cdr:relSizeAnchor>
  <cdr:relSizeAnchor xmlns:cdr="http://schemas.openxmlformats.org/drawingml/2006/chartDrawing">
    <cdr:from>
      <cdr:x>0.502</cdr:x>
      <cdr:y>0.166</cdr:y>
    </cdr:from>
    <cdr:to>
      <cdr:x>0.56025</cdr:x>
      <cdr:y>0.20175</cdr:y>
    </cdr:to>
    <cdr:sp macro="" textlink="DATA!$D$9">
      <cdr:nvSpPr>
        <cdr:cNvPr id="2069" name="Text Box 21"/>
        <cdr:cNvSpPr txBox="1">
          <a:spLocks xmlns:a="http://schemas.openxmlformats.org/drawingml/2006/main" noChangeArrowheads="1" noTextEdit="1"/>
        </cdr:cNvSpPr>
      </cdr:nvSpPr>
      <cdr:spPr bwMode="auto">
        <a:xfrm xmlns:a="http://schemas.openxmlformats.org/drawingml/2006/main">
          <a:off x="4274706" y="973988"/>
          <a:ext cx="496019" cy="2097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80154C3C-C806-44EF-9327-6FA8139CCBD6}" type="TxLink">
            <a:rPr lang="fr-FR" sz="1000" b="0" i="0" u="none" strike="noStrike" baseline="0">
              <a:solidFill>
                <a:srgbClr val="000000"/>
              </a:solidFill>
              <a:latin typeface="Arial"/>
              <a:cs typeface="Arial"/>
            </a:rPr>
            <a:pPr algn="l" rtl="0">
              <a:defRPr sz="1000"/>
            </a:pPr>
            <a:t>North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0.501</cdr:x>
      <cdr:y>0.91525</cdr:y>
    </cdr:from>
    <cdr:to>
      <cdr:x>0.54252</cdr:x>
      <cdr:y>0.94432</cdr:y>
    </cdr:to>
    <cdr:sp macro="" textlink="DATA!$J$16">
      <cdr:nvSpPr>
        <cdr:cNvPr id="2070" name="Text Box 22"/>
        <cdr:cNvSpPr txBox="1">
          <a:spLocks xmlns:a="http://schemas.openxmlformats.org/drawingml/2006/main" noChangeArrowheads="1" noTextEdit="1"/>
        </cdr:cNvSpPr>
      </cdr:nvSpPr>
      <cdr:spPr bwMode="auto">
        <a:xfrm xmlns:a="http://schemas.openxmlformats.org/drawingml/2006/main">
          <a:off x="4266190" y="5370138"/>
          <a:ext cx="353558"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A29EBE4C-A092-4321-8E3F-8FC1791F7D9E}" type="TxLink">
            <a:rPr lang="fr-FR" sz="1000" b="0" i="0" u="none" strike="noStrike" baseline="0">
              <a:solidFill>
                <a:srgbClr val="000000"/>
              </a:solidFill>
              <a:latin typeface="Arial"/>
              <a:cs typeface="Arial"/>
            </a:rPr>
            <a:pPr algn="l" rtl="0">
              <a:defRPr sz="1000"/>
            </a:pPr>
            <a:t>South</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0.8925</cdr:x>
      <cdr:y>0.6105</cdr:y>
    </cdr:from>
    <cdr:to>
      <cdr:x>0.92179</cdr:x>
      <cdr:y>0.63704</cdr:y>
    </cdr:to>
    <cdr:sp macro="" textlink="DATA!$J$17">
      <cdr:nvSpPr>
        <cdr:cNvPr id="2071" name="Text Box 23"/>
        <cdr:cNvSpPr txBox="1">
          <a:spLocks xmlns:a="http://schemas.openxmlformats.org/drawingml/2006/main" noChangeArrowheads="1" noTextEdit="1"/>
        </cdr:cNvSpPr>
      </cdr:nvSpPr>
      <cdr:spPr bwMode="auto">
        <a:xfrm xmlns:a="http://schemas.openxmlformats.org/drawingml/2006/main">
          <a:off x="7599950" y="3582048"/>
          <a:ext cx="249427"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1229A9DF-6DF4-4F6A-A8DD-9D9B84FD6607}" type="TxLink">
            <a:rPr lang="fr-FR" sz="900" b="0" i="0" u="none" strike="noStrike" baseline="0">
              <a:solidFill>
                <a:srgbClr val="000000"/>
              </a:solidFill>
              <a:latin typeface="Arial"/>
              <a:cs typeface="Arial"/>
            </a:rPr>
            <a:pPr algn="l" rtl="0">
              <a:defRPr sz="1000"/>
            </a:pPr>
            <a:t>East</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0.0665</cdr:x>
      <cdr:y>0.6105</cdr:y>
    </cdr:from>
    <cdr:to>
      <cdr:x>0.109</cdr:x>
      <cdr:y>0.6445</cdr:y>
    </cdr:to>
    <cdr:sp macro="" textlink="">
      <cdr:nvSpPr>
        <cdr:cNvPr id="2072" name="Text Box 24"/>
        <cdr:cNvSpPr txBox="1">
          <a:spLocks xmlns:a="http://schemas.openxmlformats.org/drawingml/2006/main" noChangeArrowheads="1"/>
        </cdr:cNvSpPr>
      </cdr:nvSpPr>
      <cdr:spPr bwMode="auto">
        <a:xfrm xmlns:a="http://schemas.openxmlformats.org/drawingml/2006/main">
          <a:off x="566271" y="3582048"/>
          <a:ext cx="361902" cy="1994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fr-FR" sz="1000" b="0" i="0" u="none" strike="noStrike" baseline="0">
              <a:solidFill>
                <a:srgbClr val="000000"/>
              </a:solidFill>
              <a:latin typeface="Arial"/>
              <a:cs typeface="Arial"/>
            </a:rPr>
            <a:t>West</a:t>
          </a:r>
        </a:p>
      </cdr:txBody>
    </cdr:sp>
  </cdr:relSizeAnchor>
  <cdr:relSizeAnchor xmlns:cdr="http://schemas.openxmlformats.org/drawingml/2006/chartDrawing">
    <cdr:from>
      <cdr:x>0.0665</cdr:x>
      <cdr:y>0.51475</cdr:y>
    </cdr:from>
    <cdr:to>
      <cdr:x>0.12306</cdr:x>
      <cdr:y>0.54382</cdr:y>
    </cdr:to>
    <cdr:sp macro="" textlink="DATA!$J$5">
      <cdr:nvSpPr>
        <cdr:cNvPr id="2073" name="Text Box 25"/>
        <cdr:cNvSpPr txBox="1">
          <a:spLocks xmlns:a="http://schemas.openxmlformats.org/drawingml/2006/main" noChangeArrowheads="1" noTextEdit="1"/>
        </cdr:cNvSpPr>
      </cdr:nvSpPr>
      <cdr:spPr bwMode="auto">
        <a:xfrm xmlns:a="http://schemas.openxmlformats.org/drawingml/2006/main">
          <a:off x="566271" y="3020244"/>
          <a:ext cx="481670"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70ED9EF-24E0-4E88-9C8F-A25DBF72DF41}" type="TxLink">
            <a:rPr lang="fr-FR" sz="1000" b="0" i="0" u="none" strike="noStrike" baseline="0">
              <a:solidFill>
                <a:srgbClr val="000000"/>
              </a:solidFill>
              <a:latin typeface="Arial"/>
              <a:cs typeface="Arial"/>
            </a:rPr>
            <a:pPr algn="l" rtl="0">
              <a:defRPr sz="1000"/>
            </a:pPr>
            <a:t>morning</a:t>
          </a:fld>
          <a:endParaRPr lang="fr-FR" sz="1000" b="0" i="0" u="none" strike="noStrike" baseline="0">
            <a:solidFill>
              <a:srgbClr val="000000"/>
            </a:solidFill>
            <a:latin typeface="Arial"/>
            <a:cs typeface="Arial"/>
          </a:endParaRPr>
        </a:p>
      </cdr:txBody>
    </cdr:sp>
  </cdr:relSizeAnchor>
  <cdr:relSizeAnchor xmlns:cdr="http://schemas.openxmlformats.org/drawingml/2006/chartDrawing">
    <cdr:from>
      <cdr:x>0.87675</cdr:x>
      <cdr:y>0.534</cdr:y>
    </cdr:from>
    <cdr:to>
      <cdr:x>0.93618</cdr:x>
      <cdr:y>0.56054</cdr:y>
    </cdr:to>
    <cdr:sp macro="" textlink="DATA!$J$6">
      <cdr:nvSpPr>
        <cdr:cNvPr id="2074" name="Text Box 26"/>
        <cdr:cNvSpPr txBox="1">
          <a:spLocks xmlns:a="http://schemas.openxmlformats.org/drawingml/2006/main" noChangeArrowheads="1" noTextEdit="1"/>
        </cdr:cNvSpPr>
      </cdr:nvSpPr>
      <cdr:spPr bwMode="auto">
        <a:xfrm xmlns:a="http://schemas.openxmlformats.org/drawingml/2006/main">
          <a:off x="7465833" y="3133192"/>
          <a:ext cx="506101" cy="1557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A558105-0DA9-4675-95F6-90FF4BD97DC0}" type="TxLink">
            <a:rPr lang="fr-FR" sz="900" b="0" i="0" u="none" strike="noStrike" baseline="0">
              <a:solidFill>
                <a:srgbClr val="000000"/>
              </a:solidFill>
              <a:latin typeface="Arial"/>
              <a:cs typeface="Arial"/>
            </a:rPr>
            <a:pPr algn="l" rtl="0">
              <a:defRPr sz="1000"/>
            </a:pPr>
            <a:t>afternoon</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0.17575</cdr:y>
    </cdr:from>
    <cdr:to>
      <cdr:x>0.12247</cdr:x>
      <cdr:y>0.20482</cdr:y>
    </cdr:to>
    <cdr:sp macro="" textlink="DATA!$B$9">
      <cdr:nvSpPr>
        <cdr:cNvPr id="2075" name="Text Box 27"/>
        <cdr:cNvSpPr txBox="1">
          <a:spLocks xmlns:a="http://schemas.openxmlformats.org/drawingml/2006/main" noChangeArrowheads="1" noTextEdit="1"/>
        </cdr:cNvSpPr>
      </cdr:nvSpPr>
      <cdr:spPr bwMode="auto">
        <a:xfrm xmlns:a="http://schemas.openxmlformats.org/drawingml/2006/main">
          <a:off x="415123" y="1031196"/>
          <a:ext cx="627736"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0F9D05A-1C23-4264-97D7-C4BE1EEAA4CB}" type="TxLink">
            <a:rPr lang="fr-FR" sz="1000" b="1" i="0" u="none" strike="noStrike" baseline="0">
              <a:solidFill>
                <a:srgbClr val="000000"/>
              </a:solidFill>
              <a:latin typeface="Arial"/>
              <a:cs typeface="Arial"/>
            </a:rPr>
            <a:pPr algn="l" rtl="0">
              <a:defRPr sz="1000"/>
            </a:pPr>
            <a:t>Latitude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0.71725</cdr:x>
      <cdr:y>0.12025</cdr:y>
    </cdr:from>
    <cdr:to>
      <cdr:x>0.96124</cdr:x>
      <cdr:y>0.14932</cdr:y>
    </cdr:to>
    <cdr:sp macro="" textlink="DATA!$B$20">
      <cdr:nvSpPr>
        <cdr:cNvPr id="2076" name="Text Box 28"/>
        <cdr:cNvSpPr txBox="1">
          <a:spLocks xmlns:a="http://schemas.openxmlformats.org/drawingml/2006/main" noChangeArrowheads="1" noTextEdit="1"/>
        </cdr:cNvSpPr>
      </cdr:nvSpPr>
      <cdr:spPr bwMode="auto">
        <a:xfrm xmlns:a="http://schemas.openxmlformats.org/drawingml/2006/main">
          <a:off x="6107635" y="705555"/>
          <a:ext cx="2077620" cy="1705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93CADB06-AD57-42C5-812F-CEEB1EC7F861}" type="TxLink">
            <a:rPr lang="fr-FR" sz="1000" b="1" i="0" u="none" strike="noStrike" baseline="0">
              <a:solidFill>
                <a:srgbClr val="FFFF00"/>
              </a:solidFill>
              <a:latin typeface="Arial"/>
              <a:cs typeface="Arial"/>
            </a:rPr>
            <a:pPr algn="l" rtl="0">
              <a:defRPr sz="1000"/>
            </a:pPr>
            <a:t>Shadow Path for Date (dd-mm-yy)</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0.25425</cdr:x>
      <cdr:y>0.585</cdr:y>
    </cdr:from>
    <cdr:to>
      <cdr:x>0.37066</cdr:x>
      <cdr:y>0.61407</cdr:y>
    </cdr:to>
    <cdr:sp macro="" textlink="DATA!$B$15">
      <cdr:nvSpPr>
        <cdr:cNvPr id="2077" name="Text Box 29"/>
        <cdr:cNvSpPr txBox="1">
          <a:spLocks xmlns:a="http://schemas.openxmlformats.org/drawingml/2006/main" noChangeArrowheads="1" noTextEdit="1"/>
        </cdr:cNvSpPr>
      </cdr:nvSpPr>
      <cdr:spPr bwMode="auto">
        <a:xfrm xmlns:a="http://schemas.openxmlformats.org/drawingml/2006/main">
          <a:off x="2165028" y="3432429"/>
          <a:ext cx="991297"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FA4B3FB4-C40A-4032-8C51-F00FB7790520}" type="TxLink">
            <a:rPr lang="fr-FR" sz="1000" b="1" i="0" u="none" strike="noStrike" baseline="0">
              <a:solidFill>
                <a:srgbClr val="000000"/>
              </a:solidFill>
              <a:latin typeface="Arial"/>
              <a:cs typeface="Arial"/>
            </a:rPr>
            <a:pPr algn="l" rtl="0">
              <a:defRPr sz="1000"/>
            </a:pPr>
            <a:t>E/W-SemiAxis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0.635</cdr:x>
      <cdr:y>0.87475</cdr:y>
    </cdr:from>
    <cdr:to>
      <cdr:x>0.94625</cdr:x>
      <cdr:y>0.9335</cdr:y>
    </cdr:to>
    <cdr:sp macro="" textlink="">
      <cdr:nvSpPr>
        <cdr:cNvPr id="2078" name="WordArt 30"/>
        <cdr:cNvSpPr>
          <a:spLocks xmlns:a="http://schemas.openxmlformats.org/drawingml/2006/main" noChangeArrowheads="1" noChangeShapeType="1" noTextEdit="1"/>
        </cdr:cNvSpPr>
      </cdr:nvSpPr>
      <cdr:spPr bwMode="auto">
        <a:xfrm xmlns:a="http://schemas.openxmlformats.org/drawingml/2006/main">
          <a:off x="5407247" y="5132508"/>
          <a:ext cx="2650403" cy="344710"/>
        </a:xfrm>
        <a:prstGeom xmlns:a="http://schemas.openxmlformats.org/drawingml/2006/main" prst="rect">
          <a:avLst/>
        </a:prstGeom>
      </cdr:spPr>
      <cdr:txBody>
        <a:bodyPr xmlns:a="http://schemas.openxmlformats.org/drawingml/2006/main" wrap="none" fromWordArt="1">
          <a:prstTxWarp prst="textPlain">
            <a:avLst>
              <a:gd name="adj" fmla="val 50000"/>
            </a:avLst>
          </a:prstTxWarp>
        </a:bodyPr>
        <a:lstStyle xmlns:a="http://schemas.openxmlformats.org/drawingml/2006/main"/>
        <a:p xmlns:a="http://schemas.openxmlformats.org/drawingml/2006/main">
          <a:pPr algn="ctr" rtl="0"/>
          <a:r>
            <a:rPr lang="fr-FR" sz="1200" kern="10" spc="0">
              <a:ln w="9525">
                <a:solidFill>
                  <a:srgbClr val="000000"/>
                </a:solidFill>
                <a:round/>
                <a:headEnd/>
                <a:tailEnd/>
              </a:ln>
              <a:solidFill>
                <a:srgbClr val="008080"/>
              </a:solidFill>
              <a:effectLst>
                <a:outerShdw sy="-50000" kx="-2453608" rotWithShape="0">
                  <a:srgbClr val="868686"/>
                </a:outerShdw>
              </a:effectLst>
              <a:latin typeface="Arial Black"/>
            </a:rPr>
            <a:t>Walking Shadow Designs</a:t>
          </a:r>
        </a:p>
      </cdr:txBody>
    </cdr:sp>
  </cdr:relSizeAnchor>
  <cdr:relSizeAnchor xmlns:cdr="http://schemas.openxmlformats.org/drawingml/2006/chartDrawing">
    <cdr:from>
      <cdr:x>0.79175</cdr:x>
      <cdr:y>0.2275</cdr:y>
    </cdr:from>
    <cdr:to>
      <cdr:x>0.91475</cdr:x>
      <cdr:y>0.25825</cdr:y>
    </cdr:to>
    <cdr:sp macro="" textlink="DATA!$B$17">
      <cdr:nvSpPr>
        <cdr:cNvPr id="2080" name="Text Box 32"/>
        <cdr:cNvSpPr txBox="1">
          <a:spLocks xmlns:a="http://schemas.openxmlformats.org/drawingml/2006/main" noChangeArrowheads="1" noTextEdit="1"/>
        </cdr:cNvSpPr>
      </cdr:nvSpPr>
      <cdr:spPr bwMode="auto">
        <a:xfrm xmlns:a="http://schemas.openxmlformats.org/drawingml/2006/main">
          <a:off x="6742028" y="1334834"/>
          <a:ext cx="1047388" cy="180422"/>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EF21CBF-419F-4622-8633-21B5E2F8F6A6}" type="TxLink">
            <a:rPr lang="fr-FR" sz="900" b="0" i="0" u="none" strike="noStrike" baseline="0">
              <a:solidFill>
                <a:srgbClr val="000000"/>
              </a:solidFill>
              <a:latin typeface="Arial"/>
              <a:cs typeface="Arial"/>
            </a:rPr>
            <a:pPr algn="l" rtl="0">
              <a:defRPr sz="1000"/>
            </a:pPr>
            <a:t>Gnomon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0.49525</cdr:x>
      <cdr:y>0.1475</cdr:y>
    </cdr:from>
    <cdr:to>
      <cdr:x>0.49625</cdr:x>
      <cdr:y>0.93975</cdr:y>
    </cdr:to>
    <cdr:sp macro="" textlink="">
      <cdr:nvSpPr>
        <cdr:cNvPr id="2081" name="Line 33"/>
        <cdr:cNvSpPr>
          <a:spLocks xmlns:a="http://schemas.openxmlformats.org/drawingml/2006/main" noChangeShapeType="1"/>
        </cdr:cNvSpPr>
      </cdr:nvSpPr>
      <cdr:spPr bwMode="auto">
        <a:xfrm xmlns:a="http://schemas.openxmlformats.org/drawingml/2006/main">
          <a:off x="4217227" y="865442"/>
          <a:ext cx="8515" cy="464844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sp>
  </cdr:relSizeAnchor>
  <cdr:relSizeAnchor xmlns:cdr="http://schemas.openxmlformats.org/drawingml/2006/chartDrawing">
    <cdr:from>
      <cdr:x>0.178</cdr:x>
      <cdr:y>0.70075</cdr:y>
    </cdr:from>
    <cdr:to>
      <cdr:x>0.187</cdr:x>
      <cdr:y>0.73325</cdr:y>
    </cdr:to>
    <cdr:sp macro="" textlink="DATA!$M$2">
      <cdr:nvSpPr>
        <cdr:cNvPr id="2082" name="Text Box 34"/>
        <cdr:cNvSpPr txBox="1">
          <a:spLocks xmlns:a="http://schemas.openxmlformats.org/drawingml/2006/main" noChangeArrowheads="1" noTextEdit="1"/>
        </cdr:cNvSpPr>
      </cdr:nvSpPr>
      <cdr:spPr bwMode="auto">
        <a:xfrm xmlns:a="http://schemas.openxmlformats.org/drawingml/2006/main">
          <a:off x="1515732" y="4111581"/>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0DE54A7E-0282-4870-BF9A-0819A139A32A}" type="TxLink">
            <a:rPr lang="fr-FR" sz="1200" b="0" i="0" u="none" strike="noStrike">
              <a:solidFill>
                <a:srgbClr val="C0C0C0"/>
              </a:solidFill>
              <a:latin typeface="Courier"/>
            </a:rPr>
            <a:pPr/>
            <a:t>5</a:t>
          </a:fld>
          <a:endParaRPr lang="fr-FR"/>
        </a:p>
      </cdr:txBody>
    </cdr:sp>
  </cdr:relSizeAnchor>
  <cdr:relSizeAnchor xmlns:cdr="http://schemas.openxmlformats.org/drawingml/2006/chartDrawing">
    <cdr:from>
      <cdr:x>0.3865</cdr:x>
      <cdr:y>0.58325</cdr:y>
    </cdr:from>
    <cdr:to>
      <cdr:x>0.4515</cdr:x>
      <cdr:y>0.62375</cdr:y>
    </cdr:to>
    <cdr:sp macro="" textlink="DATA!$C$15">
      <cdr:nvSpPr>
        <cdr:cNvPr id="2083" name="Text Box 35"/>
        <cdr:cNvSpPr txBox="1">
          <a:spLocks xmlns:a="http://schemas.openxmlformats.org/drawingml/2006/main" noChangeArrowheads="1" noTextEdit="1"/>
        </cdr:cNvSpPr>
      </cdr:nvSpPr>
      <cdr:spPr bwMode="auto">
        <a:xfrm xmlns:a="http://schemas.openxmlformats.org/drawingml/2006/main">
          <a:off x="3291183" y="3422161"/>
          <a:ext cx="553498" cy="2376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65E547BD-8170-4EEC-868A-9889DB4F18D6}" type="TxLink">
            <a:rPr lang="fr-FR" sz="1000" b="1" i="0" u="none" strike="noStrike" baseline="0">
              <a:solidFill>
                <a:srgbClr val="000000"/>
              </a:solidFill>
              <a:latin typeface="Arial"/>
              <a:cs typeface="Arial"/>
            </a:rPr>
            <a:pPr algn="l" rtl="0">
              <a:defRPr sz="1000"/>
            </a:pPr>
            <a:t>2.000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0.80725</cdr:x>
      <cdr:y>0.1475</cdr:y>
    </cdr:from>
    <cdr:to>
      <cdr:x>0.8955</cdr:x>
      <cdr:y>0.18325</cdr:y>
    </cdr:to>
    <cdr:sp macro="" textlink="DATA!$D$20">
      <cdr:nvSpPr>
        <cdr:cNvPr id="2084" name="Text Box 36"/>
        <cdr:cNvSpPr txBox="1">
          <a:spLocks xmlns:a="http://schemas.openxmlformats.org/drawingml/2006/main" noChangeArrowheads="1" noTextEdit="1"/>
        </cdr:cNvSpPr>
      </cdr:nvSpPr>
      <cdr:spPr bwMode="auto">
        <a:xfrm xmlns:a="http://schemas.openxmlformats.org/drawingml/2006/main">
          <a:off x="6874016" y="865442"/>
          <a:ext cx="751480"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2CFFABA-C8DD-49F4-85B5-A14187B77EEE}" type="TxLink">
            <a:rPr lang="fr-FR" sz="1000" b="1" i="0" u="none" strike="noStrike" baseline="0">
              <a:solidFill>
                <a:srgbClr val="FFFF00"/>
              </a:solidFill>
              <a:latin typeface="Arial"/>
              <a:cs typeface="Arial"/>
            </a:rPr>
            <a:pPr algn="l" rtl="0">
              <a:defRPr sz="1000"/>
            </a:pPr>
            <a:t>17/ janv/ 14</a:t>
          </a:fld>
          <a:endParaRPr lang="fr-FR" sz="1000" b="1" i="0" u="none" strike="noStrike" baseline="0">
            <a:solidFill>
              <a:srgbClr val="FFFF00"/>
            </a:solidFill>
            <a:latin typeface="Arial"/>
            <a:cs typeface="Arial"/>
          </a:endParaRPr>
        </a:p>
      </cdr:txBody>
    </cdr:sp>
  </cdr:relSizeAnchor>
  <cdr:relSizeAnchor xmlns:cdr="http://schemas.openxmlformats.org/drawingml/2006/chartDrawing">
    <cdr:from>
      <cdr:x>0.92975</cdr:x>
      <cdr:y>0.2275</cdr:y>
    </cdr:from>
    <cdr:to>
      <cdr:x>0.979</cdr:x>
      <cdr:y>0.26325</cdr:y>
    </cdr:to>
    <cdr:sp macro="" textlink="DATA!$C$17">
      <cdr:nvSpPr>
        <cdr:cNvPr id="2085" name="Text Box 37"/>
        <cdr:cNvSpPr txBox="1">
          <a:spLocks xmlns:a="http://schemas.openxmlformats.org/drawingml/2006/main" noChangeArrowheads="1" noTextEdit="1"/>
        </cdr:cNvSpPr>
      </cdr:nvSpPr>
      <cdr:spPr bwMode="auto">
        <a:xfrm xmlns:a="http://schemas.openxmlformats.org/drawingml/2006/main">
          <a:off x="7917147" y="1334834"/>
          <a:ext cx="419381" cy="209759"/>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E3F971D-69F5-4658-94B7-A981C3935F0E}" type="TxLink">
            <a:rPr lang="fr-FR" sz="900" b="0" i="0" u="none" strike="noStrike" baseline="0">
              <a:solidFill>
                <a:srgbClr val="000000"/>
              </a:solidFill>
              <a:latin typeface="Arial"/>
              <a:cs typeface="Arial"/>
            </a:rPr>
            <a:pPr algn="l" rtl="0">
              <a:defRPr sz="1000"/>
            </a:pPr>
            <a:t>2.00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0.17025</cdr:x>
      <cdr:y>0.1775</cdr:y>
    </cdr:from>
    <cdr:to>
      <cdr:x>0.23525</cdr:x>
      <cdr:y>0.21325</cdr:y>
    </cdr:to>
    <cdr:sp macro="" textlink="DATA!$C$9">
      <cdr:nvSpPr>
        <cdr:cNvPr id="2086" name="Text Box 38"/>
        <cdr:cNvSpPr txBox="1">
          <a:spLocks xmlns:a="http://schemas.openxmlformats.org/drawingml/2006/main" noChangeArrowheads="1" noTextEdit="1"/>
        </cdr:cNvSpPr>
      </cdr:nvSpPr>
      <cdr:spPr bwMode="auto">
        <a:xfrm xmlns:a="http://schemas.openxmlformats.org/drawingml/2006/main">
          <a:off x="1449738" y="1041464"/>
          <a:ext cx="553498"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5B015C5-5D82-47FA-8A5E-35016ACB5727}" type="TxLink">
            <a:rPr lang="fr-FR" sz="1000" b="1" i="0" u="none" strike="noStrike" baseline="0">
              <a:solidFill>
                <a:srgbClr val="000000"/>
              </a:solidFill>
              <a:latin typeface="Arial"/>
              <a:cs typeface="Arial"/>
            </a:rPr>
            <a:pPr algn="l" rtl="0">
              <a:defRPr sz="1000"/>
            </a:pPr>
            <a:t>27.88</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0.7985</cdr:x>
      <cdr:y>0.25125</cdr:y>
    </cdr:from>
    <cdr:to>
      <cdr:x>0.9315</cdr:x>
      <cdr:y>0.282</cdr:y>
    </cdr:to>
    <cdr:sp macro="" textlink="DATA!$F$18">
      <cdr:nvSpPr>
        <cdr:cNvPr id="2087" name="Text Box 39"/>
        <cdr:cNvSpPr txBox="1">
          <a:spLocks xmlns:a="http://schemas.openxmlformats.org/drawingml/2006/main" noChangeArrowheads="1" noTextEdit="1"/>
        </cdr:cNvSpPr>
      </cdr:nvSpPr>
      <cdr:spPr bwMode="auto">
        <a:xfrm xmlns:a="http://schemas.openxmlformats.org/drawingml/2006/main">
          <a:off x="6799507" y="1474184"/>
          <a:ext cx="1132542"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8E873C6-E2D2-4866-8416-BEF8EF1DCC16}" type="TxLink">
            <a:rPr lang="fr-FR" sz="900" b="0" i="0" u="none" strike="noStrike" baseline="0">
              <a:solidFill>
                <a:srgbClr val="000000"/>
              </a:solidFill>
              <a:latin typeface="Arial"/>
              <a:cs typeface="Arial"/>
            </a:rPr>
            <a:pPr algn="l" rtl="0">
              <a:defRPr sz="1000"/>
            </a:pPr>
            <a:t>Minimal Height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0.04875</cdr:x>
      <cdr:y>0.21425</cdr:y>
    </cdr:from>
    <cdr:to>
      <cdr:x>0.13668</cdr:x>
      <cdr:y>0.24332</cdr:y>
    </cdr:to>
    <cdr:sp macro="" textlink="DATA!$B$10">
      <cdr:nvSpPr>
        <cdr:cNvPr id="2089" name="Text Box 41"/>
        <cdr:cNvSpPr txBox="1">
          <a:spLocks xmlns:a="http://schemas.openxmlformats.org/drawingml/2006/main" noChangeArrowheads="1" noTextEdit="1"/>
        </cdr:cNvSpPr>
      </cdr:nvSpPr>
      <cdr:spPr bwMode="auto">
        <a:xfrm xmlns:a="http://schemas.openxmlformats.org/drawingml/2006/main">
          <a:off x="415123" y="1257090"/>
          <a:ext cx="748795"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4F7D2862-13E5-4DDB-BDEA-9F0C23A3E11D}" type="TxLink">
            <a:rPr lang="fr-FR" sz="1000" b="1" i="0" u="none" strike="noStrike" baseline="0">
              <a:solidFill>
                <a:srgbClr val="000000"/>
              </a:solidFill>
              <a:latin typeface="Arial"/>
              <a:cs typeface="Arial"/>
            </a:rPr>
            <a:pPr algn="l" rtl="0">
              <a:defRPr sz="1000"/>
            </a:pPr>
            <a:t>Longitude =</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0.16925</cdr:x>
      <cdr:y>0.2125</cdr:y>
    </cdr:from>
    <cdr:to>
      <cdr:x>0.22625</cdr:x>
      <cdr:y>0.24825</cdr:y>
    </cdr:to>
    <cdr:sp macro="" textlink="DATA!$C$10">
      <cdr:nvSpPr>
        <cdr:cNvPr id="2091" name="Text Box 43"/>
        <cdr:cNvSpPr txBox="1">
          <a:spLocks xmlns:a="http://schemas.openxmlformats.org/drawingml/2006/main" noChangeArrowheads="1" noTextEdit="1"/>
        </cdr:cNvSpPr>
      </cdr:nvSpPr>
      <cdr:spPr bwMode="auto">
        <a:xfrm xmlns:a="http://schemas.openxmlformats.org/drawingml/2006/main">
          <a:off x="1441223" y="1246823"/>
          <a:ext cx="485375" cy="20975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9179A4CD-4085-468A-A59E-A7442EB9498C}" type="TxLink">
            <a:rPr lang="fr-FR" sz="1000" b="1" i="0" u="none" strike="noStrike" baseline="0">
              <a:solidFill>
                <a:srgbClr val="000000"/>
              </a:solidFill>
              <a:latin typeface="Arial"/>
              <a:cs typeface="Arial"/>
            </a:rPr>
            <a:pPr algn="l" rtl="0">
              <a:defRPr sz="1000"/>
            </a:pPr>
            <a:t>-78.07</a:t>
          </a:fld>
          <a:endParaRPr lang="fr-FR" sz="1000" b="1" i="0" u="none" strike="noStrike" baseline="0">
            <a:solidFill>
              <a:srgbClr val="000000"/>
            </a:solidFill>
            <a:latin typeface="Arial"/>
            <a:cs typeface="Arial"/>
          </a:endParaRPr>
        </a:p>
      </cdr:txBody>
    </cdr:sp>
  </cdr:relSizeAnchor>
  <cdr:relSizeAnchor xmlns:cdr="http://schemas.openxmlformats.org/drawingml/2006/chartDrawing">
    <cdr:from>
      <cdr:x>0.04875</cdr:x>
      <cdr:y>0.13275</cdr:y>
    </cdr:from>
    <cdr:to>
      <cdr:x>0.17796</cdr:x>
      <cdr:y>0.16512</cdr:y>
    </cdr:to>
    <cdr:sp macro="" textlink="DATA!$B$24">
      <cdr:nvSpPr>
        <cdr:cNvPr id="2092" name="Text Box 44"/>
        <cdr:cNvSpPr txBox="1">
          <a:spLocks xmlns:a="http://schemas.openxmlformats.org/drawingml/2006/main" noChangeArrowheads="1" noTextEdit="1"/>
        </cdr:cNvSpPr>
      </cdr:nvSpPr>
      <cdr:spPr bwMode="auto">
        <a:xfrm xmlns:a="http://schemas.openxmlformats.org/drawingml/2006/main">
          <a:off x="415123" y="778897"/>
          <a:ext cx="1100301" cy="1899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0">
            <a:defRPr sz="1000"/>
          </a:pPr>
          <a:fld id="{1AEABB9F-DE2C-4FD1-B18C-D8EBE27EEA5C}" type="TxLink">
            <a:rPr lang="fr-FR" sz="1100" b="1" i="0" u="none" strike="noStrike" baseline="0">
              <a:solidFill>
                <a:srgbClr val="000000"/>
              </a:solidFill>
              <a:latin typeface="Arial"/>
              <a:cs typeface="Arial"/>
            </a:rPr>
            <a:pPr algn="l" rtl="0">
              <a:defRPr sz="1000"/>
            </a:pPr>
            <a:t>True Local Time</a:t>
          </a:fld>
          <a:endParaRPr lang="fr-FR" sz="1100" b="1" i="0" u="none" strike="noStrike" baseline="0">
            <a:solidFill>
              <a:srgbClr val="000000"/>
            </a:solidFill>
            <a:latin typeface="Arial"/>
            <a:cs typeface="Arial"/>
          </a:endParaRPr>
        </a:p>
      </cdr:txBody>
    </cdr:sp>
  </cdr:relSizeAnchor>
  <cdr:relSizeAnchor xmlns:cdr="http://schemas.openxmlformats.org/drawingml/2006/chartDrawing">
    <cdr:from>
      <cdr:x>0.313</cdr:x>
      <cdr:y>0.6455</cdr:y>
    </cdr:from>
    <cdr:to>
      <cdr:x>0.43375</cdr:x>
      <cdr:y>0.6715</cdr:y>
    </cdr:to>
    <cdr:sp macro="" textlink="DATA!$E$108">
      <cdr:nvSpPr>
        <cdr:cNvPr id="2093" name="Text Box 45"/>
        <cdr:cNvSpPr txBox="1">
          <a:spLocks xmlns:a="http://schemas.openxmlformats.org/drawingml/2006/main" noChangeArrowheads="1" noTextEdit="1"/>
        </cdr:cNvSpPr>
      </cdr:nvSpPr>
      <cdr:spPr bwMode="auto">
        <a:xfrm xmlns:a="http://schemas.openxmlformats.org/drawingml/2006/main">
          <a:off x="2665305" y="3787407"/>
          <a:ext cx="1028228" cy="15255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C313CC60-470F-44C5-8471-37C40617EAB9}" type="TxLink">
            <a:rPr lang="fr-FR" sz="900" b="0" i="0" u="none" strike="noStrike" baseline="0">
              <a:solidFill>
                <a:srgbClr val="008080"/>
              </a:solidFill>
              <a:latin typeface="Andale Mono"/>
            </a:rPr>
            <a:pPr algn="ctr" rtl="0">
              <a:defRPr sz="1000"/>
            </a:pPr>
            <a:t>SunriseMark</a:t>
          </a:fld>
          <a:endParaRPr lang="fr-FR" sz="900" b="0" i="0" u="none" strike="noStrike" baseline="0">
            <a:solidFill>
              <a:srgbClr val="008080"/>
            </a:solidFill>
            <a:latin typeface="Andale Mono"/>
          </a:endParaRPr>
        </a:p>
      </cdr:txBody>
    </cdr:sp>
  </cdr:relSizeAnchor>
  <cdr:relSizeAnchor xmlns:cdr="http://schemas.openxmlformats.org/drawingml/2006/chartDrawing">
    <cdr:from>
      <cdr:x>0.56075</cdr:x>
      <cdr:y>0.6455</cdr:y>
    </cdr:from>
    <cdr:to>
      <cdr:x>0.68375</cdr:x>
      <cdr:y>0.678</cdr:y>
    </cdr:to>
    <cdr:sp macro="" textlink="DATA!$E$106">
      <cdr:nvSpPr>
        <cdr:cNvPr id="2094" name="Text Box 46"/>
        <cdr:cNvSpPr txBox="1">
          <a:spLocks xmlns:a="http://schemas.openxmlformats.org/drawingml/2006/main" noChangeArrowheads="1" noTextEdit="1"/>
        </cdr:cNvSpPr>
      </cdr:nvSpPr>
      <cdr:spPr bwMode="auto">
        <a:xfrm xmlns:a="http://schemas.openxmlformats.org/drawingml/2006/main">
          <a:off x="4774983" y="3787407"/>
          <a:ext cx="1047388" cy="1906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A27B7A25-E529-4A65-823B-EE0978D52499}"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0.225</cdr:x>
      <cdr:y>0.7755</cdr:y>
    </cdr:from>
    <cdr:to>
      <cdr:x>0.234</cdr:x>
      <cdr:y>0.808</cdr:y>
    </cdr:to>
    <cdr:sp macro="" textlink="DATA!$M$1">
      <cdr:nvSpPr>
        <cdr:cNvPr id="2095" name="Text Box 47"/>
        <cdr:cNvSpPr txBox="1">
          <a:spLocks xmlns:a="http://schemas.openxmlformats.org/drawingml/2006/main" noChangeArrowheads="1" noTextEdit="1"/>
        </cdr:cNvSpPr>
      </cdr:nvSpPr>
      <cdr:spPr bwMode="auto">
        <a:xfrm xmlns:a="http://schemas.openxmlformats.org/drawingml/2006/main">
          <a:off x="1915954" y="4550169"/>
          <a:ext cx="76638" cy="19069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fld id="{C25F3511-46EB-4F7F-969F-F8C31F562619}" type="TxLink">
            <a:rPr lang="fr-FR" sz="1200" b="0" i="0" u="none" strike="noStrike">
              <a:solidFill>
                <a:srgbClr val="C0C0C0"/>
              </a:solidFill>
              <a:latin typeface="Courier"/>
            </a:rPr>
            <a:pPr/>
            <a:t> </a:t>
          </a:fld>
          <a:endParaRPr lang="fr-FR"/>
        </a:p>
      </cdr:txBody>
    </cdr:sp>
  </cdr:relSizeAnchor>
  <cdr:relSizeAnchor xmlns:cdr="http://schemas.openxmlformats.org/drawingml/2006/chartDrawing">
    <cdr:from>
      <cdr:x>0.92975</cdr:x>
      <cdr:y>0.25125</cdr:y>
    </cdr:from>
    <cdr:to>
      <cdr:x>0.979</cdr:x>
      <cdr:y>0.282</cdr:y>
    </cdr:to>
    <cdr:sp macro="" textlink="DATA!$G$18">
      <cdr:nvSpPr>
        <cdr:cNvPr id="2096" name="Text Box 48"/>
        <cdr:cNvSpPr txBox="1">
          <a:spLocks xmlns:a="http://schemas.openxmlformats.org/drawingml/2006/main" noChangeArrowheads="1" noTextEdit="1"/>
        </cdr:cNvSpPr>
      </cdr:nvSpPr>
      <cdr:spPr bwMode="auto">
        <a:xfrm xmlns:a="http://schemas.openxmlformats.org/drawingml/2006/main">
          <a:off x="7917147" y="1474184"/>
          <a:ext cx="419381"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AEAA0A9B-66B6-44C8-8AD3-C68A95276D01}" type="TxLink">
            <a:rPr lang="fr-FR" sz="900" b="0" i="0" u="none" strike="noStrike" baseline="0">
              <a:solidFill>
                <a:srgbClr val="000000"/>
              </a:solidFill>
              <a:latin typeface="Arial"/>
              <a:cs typeface="Arial"/>
            </a:rPr>
            <a:pPr algn="l" rtl="0">
              <a:defRPr sz="1000"/>
            </a:pPr>
            <a:t>2.17</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0.76925</cdr:x>
      <cdr:y>0.2065</cdr:y>
    </cdr:from>
    <cdr:to>
      <cdr:x>0.9225</cdr:x>
      <cdr:y>0.239</cdr:y>
    </cdr:to>
    <cdr:sp macro="" textlink="DATA!$B$18">
      <cdr:nvSpPr>
        <cdr:cNvPr id="2097" name="Text Box 49"/>
        <cdr:cNvSpPr txBox="1">
          <a:spLocks xmlns:a="http://schemas.openxmlformats.org/drawingml/2006/main" noChangeArrowheads="1" noTextEdit="1"/>
        </cdr:cNvSpPr>
      </cdr:nvSpPr>
      <cdr:spPr bwMode="auto">
        <a:xfrm xmlns:a="http://schemas.openxmlformats.org/drawingml/2006/main">
          <a:off x="6550433" y="1211618"/>
          <a:ext cx="1304977" cy="190691"/>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49B40F20-5FE3-4B64-A104-646CDCBBD6DA}" type="TxLink">
            <a:rPr lang="fr-FR" sz="900" b="0" i="0" u="none" strike="noStrike" baseline="0">
              <a:solidFill>
                <a:srgbClr val="000000"/>
              </a:solidFill>
              <a:latin typeface="Arial"/>
              <a:cs typeface="Arial"/>
            </a:rPr>
            <a:pPr algn="l" rtl="0">
              <a:defRPr sz="1000"/>
            </a:pPr>
            <a:t>Gnomon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0.921</cdr:x>
      <cdr:y>0.2065</cdr:y>
    </cdr:from>
    <cdr:to>
      <cdr:x>0.97025</cdr:x>
      <cdr:y>0.24225</cdr:y>
    </cdr:to>
    <cdr:sp macro="" textlink="DATA!$D$18">
      <cdr:nvSpPr>
        <cdr:cNvPr id="2098" name="Text Box 50"/>
        <cdr:cNvSpPr txBox="1">
          <a:spLocks xmlns:a="http://schemas.openxmlformats.org/drawingml/2006/main" noChangeArrowheads="1" noTextEdit="1"/>
        </cdr:cNvSpPr>
      </cdr:nvSpPr>
      <cdr:spPr bwMode="auto">
        <a:xfrm xmlns:a="http://schemas.openxmlformats.org/drawingml/2006/main">
          <a:off x="7842637" y="1211618"/>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D64160BE-92C2-4026-86D4-AD23A2852669}" type="TxLink">
            <a:rPr lang="fr-FR" sz="900" b="0" i="0" u="none" strike="noStrike" baseline="0">
              <a:solidFill>
                <a:srgbClr val="000000"/>
              </a:solidFill>
              <a:latin typeface="Arial"/>
              <a:cs typeface="Arial"/>
            </a:rPr>
            <a:pPr algn="l" rtl="0">
              <a:defRPr sz="1000"/>
            </a:pPr>
            <a:t>90.00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0.7515</cdr:x>
      <cdr:y>0.1845</cdr:y>
    </cdr:from>
    <cdr:to>
      <cdr:x>0.94825</cdr:x>
      <cdr:y>0.21525</cdr:y>
    </cdr:to>
    <cdr:sp macro="" textlink="DATA!$B$19">
      <cdr:nvSpPr>
        <cdr:cNvPr id="2099" name="Text Box 51"/>
        <cdr:cNvSpPr txBox="1">
          <a:spLocks xmlns:a="http://schemas.openxmlformats.org/drawingml/2006/main" noChangeArrowheads="1" noTextEdit="1"/>
        </cdr:cNvSpPr>
      </cdr:nvSpPr>
      <cdr:spPr bwMode="auto">
        <a:xfrm xmlns:a="http://schemas.openxmlformats.org/drawingml/2006/main">
          <a:off x="6399286" y="1082535"/>
          <a:ext cx="1675395" cy="180423"/>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C31564AF-1CEC-4027-B82C-67FE018F4A51}" type="TxLink">
            <a:rPr lang="fr-FR" sz="900" b="0" i="0" u="none" strike="noStrike" baseline="0">
              <a:solidFill>
                <a:srgbClr val="000000"/>
              </a:solidFill>
              <a:latin typeface="Arial"/>
              <a:cs typeface="Arial"/>
            </a:rPr>
            <a:pPr algn="l" rtl="0">
              <a:defRPr sz="1000"/>
            </a:pPr>
            <a:t>Dial Plane - Inclination =</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0.92775</cdr:x>
      <cdr:y>0.181</cdr:y>
    </cdr:from>
    <cdr:to>
      <cdr:x>0.977</cdr:x>
      <cdr:y>0.21675</cdr:y>
    </cdr:to>
    <cdr:sp macro="" textlink="DATA!$D$19">
      <cdr:nvSpPr>
        <cdr:cNvPr id="2100" name="Text Box 52"/>
        <cdr:cNvSpPr txBox="1">
          <a:spLocks xmlns:a="http://schemas.openxmlformats.org/drawingml/2006/main" noChangeArrowheads="1" noTextEdit="1"/>
        </cdr:cNvSpPr>
      </cdr:nvSpPr>
      <cdr:spPr bwMode="auto">
        <a:xfrm xmlns:a="http://schemas.openxmlformats.org/drawingml/2006/main">
          <a:off x="7900116" y="1061999"/>
          <a:ext cx="419381" cy="209760"/>
        </a:xfrm>
        <a:prstGeom xmlns:a="http://schemas.openxmlformats.org/drawingml/2006/main" prst="rect">
          <a:avLst/>
        </a:prstGeom>
        <a:noFill xmlns:a="http://schemas.openxmlformats.org/drawingml/2006/main"/>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fld id="{25917C48-564B-4C05-B4EC-DD454B098805}" type="TxLink">
            <a:rPr lang="fr-FR" sz="900" b="0" i="0" u="none" strike="noStrike" baseline="0">
              <a:solidFill>
                <a:srgbClr val="000000"/>
              </a:solidFill>
              <a:latin typeface="Arial"/>
              <a:cs typeface="Arial"/>
            </a:rPr>
            <a:pPr algn="l" rtl="0">
              <a:defRPr sz="1000"/>
            </a:pPr>
            <a:t>0.00</a:t>
          </a:fld>
          <a:endParaRPr lang="fr-FR" sz="900" b="0" i="0" u="none" strike="noStrike" baseline="0">
            <a:solidFill>
              <a:srgbClr val="000000"/>
            </a:solidFill>
            <a:latin typeface="Arial"/>
            <a:cs typeface="Arial"/>
          </a:endParaRPr>
        </a:p>
      </cdr:txBody>
    </cdr:sp>
  </cdr:relSizeAnchor>
  <cdr:relSizeAnchor xmlns:cdr="http://schemas.openxmlformats.org/drawingml/2006/chartDrawing">
    <cdr:from>
      <cdr:x>0.51675</cdr:x>
      <cdr:y>0.764</cdr:y>
    </cdr:from>
    <cdr:to>
      <cdr:x>0.58725</cdr:x>
      <cdr:y>0.79325</cdr:y>
    </cdr:to>
    <cdr:sp macro="" textlink="DATA!$H$63">
      <cdr:nvSpPr>
        <cdr:cNvPr id="2101" name="Text Box 53"/>
        <cdr:cNvSpPr txBox="1">
          <a:spLocks xmlns:a="http://schemas.openxmlformats.org/drawingml/2006/main" noChangeArrowheads="1" noTextEdit="1"/>
        </cdr:cNvSpPr>
      </cdr:nvSpPr>
      <cdr:spPr bwMode="auto">
        <a:xfrm xmlns:a="http://schemas.openxmlformats.org/drawingml/2006/main">
          <a:off x="4400307" y="4482694"/>
          <a:ext cx="600332" cy="171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5CC09731-B7D4-487F-968D-7A08298F5AFE}" type="TxLink">
            <a:rPr lang="fr-FR" sz="900" b="1" i="0" u="none" strike="noStrike" baseline="0">
              <a:solidFill>
                <a:srgbClr val="3366FF"/>
              </a:solidFill>
              <a:latin typeface="Arial"/>
              <a:cs typeface="Arial"/>
            </a:rPr>
            <a:pPr algn="ctr" rtl="0">
              <a:defRPr sz="1000"/>
            </a:pPr>
            <a:t>01-janv </a:t>
          </a:fld>
          <a:endParaRPr lang="fr-FR" sz="900" b="1" i="0" u="none" strike="noStrike" baseline="0">
            <a:solidFill>
              <a:srgbClr val="3366FF"/>
            </a:solidFill>
            <a:latin typeface="Arial"/>
            <a:cs typeface="Arial"/>
          </a:endParaRPr>
        </a:p>
      </cdr:txBody>
    </cdr:sp>
  </cdr:relSizeAnchor>
  <cdr:relSizeAnchor xmlns:cdr="http://schemas.openxmlformats.org/drawingml/2006/chartDrawing">
    <cdr:from>
      <cdr:x>0.5265</cdr:x>
      <cdr:y>0.44975</cdr:y>
    </cdr:from>
    <cdr:to>
      <cdr:x>0.597</cdr:x>
      <cdr:y>0.479</cdr:y>
    </cdr:to>
    <cdr:sp macro="" textlink="DATA!$H$71">
      <cdr:nvSpPr>
        <cdr:cNvPr id="2103" name="Text Box 55"/>
        <cdr:cNvSpPr txBox="1">
          <a:spLocks xmlns:a="http://schemas.openxmlformats.org/drawingml/2006/main" noChangeArrowheads="1" noTextEdit="1"/>
        </cdr:cNvSpPr>
      </cdr:nvSpPr>
      <cdr:spPr bwMode="auto">
        <a:xfrm xmlns:a="http://schemas.openxmlformats.org/drawingml/2006/main">
          <a:off x="4483332" y="2638863"/>
          <a:ext cx="600332" cy="1716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1AE50E6B-7B00-4EC4-BE73-6D32BB02D8FA}" type="TxLink">
            <a:rPr lang="fr-FR" sz="900" b="1" i="0" u="none" strike="noStrike" baseline="0">
              <a:solidFill>
                <a:srgbClr val="993300"/>
              </a:solidFill>
              <a:latin typeface="Arial"/>
              <a:cs typeface="Arial"/>
            </a:rPr>
            <a:pPr algn="ctr" rtl="0">
              <a:defRPr sz="1000"/>
            </a:pPr>
            <a:t>01-juil </a:t>
          </a:fld>
          <a:endParaRPr lang="fr-FR" sz="900" b="1" i="0" u="none" strike="noStrike" baseline="0">
            <a:solidFill>
              <a:srgbClr val="993300"/>
            </a:solidFill>
            <a:latin typeface="Arial"/>
            <a:cs typeface="Arial"/>
          </a:endParaRPr>
        </a:p>
      </cdr:txBody>
    </cdr:sp>
  </cdr:relSizeAnchor>
  <cdr:relSizeAnchor xmlns:cdr="http://schemas.openxmlformats.org/drawingml/2006/chartDrawing">
    <cdr:from>
      <cdr:x>0.0155</cdr:x>
      <cdr:y>0.9045</cdr:y>
    </cdr:from>
    <cdr:to>
      <cdr:x>0.39338</cdr:x>
      <cdr:y>0.93357</cdr:y>
    </cdr:to>
    <cdr:sp macro="" textlink="DATA!$AJ$22">
      <cdr:nvSpPr>
        <cdr:cNvPr id="2105" name="Text Box 57"/>
        <cdr:cNvSpPr txBox="1">
          <a:spLocks xmlns:a="http://schemas.openxmlformats.org/drawingml/2006/main" noChangeArrowheads="1" noTextEdit="1"/>
        </cdr:cNvSpPr>
      </cdr:nvSpPr>
      <cdr:spPr bwMode="auto">
        <a:xfrm xmlns:a="http://schemas.openxmlformats.org/drawingml/2006/main">
          <a:off x="131988" y="5307063"/>
          <a:ext cx="3217804"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2853D9EF-9421-4972-86F1-FD6EEEC28B6D}" type="TxLink">
            <a:rPr lang="fr-FR" sz="1000" b="1" i="0" u="none" strike="noStrike" baseline="0">
              <a:solidFill>
                <a:srgbClr val="3366FF"/>
              </a:solidFill>
              <a:latin typeface="Arial"/>
              <a:cs typeface="Arial"/>
            </a:rPr>
            <a:pPr algn="l" rtl="0">
              <a:defRPr sz="1000"/>
            </a:pPr>
            <a:t>Standing on the point of the 8-slope shows for times</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0.0155</cdr:x>
      <cdr:y>0.937</cdr:y>
    </cdr:from>
    <cdr:to>
      <cdr:x>0.27709</cdr:x>
      <cdr:y>0.96607</cdr:y>
    </cdr:to>
    <cdr:sp macro="" textlink="DATA!$AJ$23">
      <cdr:nvSpPr>
        <cdr:cNvPr id="2106" name="Text Box 58"/>
        <cdr:cNvSpPr txBox="1">
          <a:spLocks xmlns:a="http://schemas.openxmlformats.org/drawingml/2006/main" noChangeArrowheads="1" noTextEdit="1"/>
        </cdr:cNvSpPr>
      </cdr:nvSpPr>
      <cdr:spPr bwMode="auto">
        <a:xfrm xmlns:a="http://schemas.openxmlformats.org/drawingml/2006/main">
          <a:off x="131988" y="5497754"/>
          <a:ext cx="2227533" cy="170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fld id="{C8831504-9A68-4F2A-8D66-DF20C79E711B}" type="TxLink">
            <a:rPr lang="fr-FR" sz="1000" b="1" i="0" u="none" strike="noStrike" baseline="0">
              <a:solidFill>
                <a:srgbClr val="3366FF"/>
              </a:solidFill>
              <a:latin typeface="Arial"/>
              <a:cs typeface="Arial"/>
            </a:rPr>
            <a:pPr algn="l" rtl="0">
              <a:defRPr sz="1000"/>
            </a:pPr>
            <a:t>near noon approximated mean time!</a:t>
          </a:fld>
          <a:endParaRPr lang="fr-FR" sz="1000" b="1" i="0" u="none" strike="noStrike" baseline="0">
            <a:solidFill>
              <a:srgbClr val="3366FF"/>
            </a:solidFill>
            <a:latin typeface="Arial"/>
            <a:cs typeface="Arial"/>
          </a:endParaRPr>
        </a:p>
      </cdr:txBody>
    </cdr:sp>
  </cdr:relSizeAnchor>
  <cdr:relSizeAnchor xmlns:cdr="http://schemas.openxmlformats.org/drawingml/2006/chartDrawing">
    <cdr:from>
      <cdr:x>0.544</cdr:x>
      <cdr:y>0.4805</cdr:y>
    </cdr:from>
    <cdr:to>
      <cdr:x>0.56175</cdr:x>
      <cdr:y>0.55775</cdr:y>
    </cdr:to>
    <cdr:sp macro="" textlink="">
      <cdr:nvSpPr>
        <cdr:cNvPr id="2112" name="AutoShape 64"/>
        <cdr:cNvSpPr>
          <a:spLocks xmlns:a="http://schemas.openxmlformats.org/drawingml/2006/main" noChangeShapeType="1"/>
        </cdr:cNvSpPr>
      </cdr:nvSpPr>
      <cdr:spPr bwMode="auto">
        <a:xfrm xmlns:a="http://schemas.openxmlformats.org/drawingml/2006/main" rot="5400000">
          <a:off x="4481296" y="2970340"/>
          <a:ext cx="453256" cy="151148"/>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993300"/>
          </a:solidFill>
          <a:miter lim="800000"/>
          <a:headEnd/>
          <a:tailEnd type="triangle" w="med" len="med"/>
        </a:ln>
      </cdr:spPr>
    </cdr:sp>
  </cdr:relSizeAnchor>
  <cdr:relSizeAnchor xmlns:cdr="http://schemas.openxmlformats.org/drawingml/2006/chartDrawing">
    <cdr:from>
      <cdr:x>0.549</cdr:x>
      <cdr:y>0.664</cdr:y>
    </cdr:from>
    <cdr:to>
      <cdr:x>0.56075</cdr:x>
      <cdr:y>0.75525</cdr:y>
    </cdr:to>
    <cdr:sp macro="" textlink="">
      <cdr:nvSpPr>
        <cdr:cNvPr id="2113" name="AutoShape 65"/>
        <cdr:cNvSpPr>
          <a:spLocks xmlns:a="http://schemas.openxmlformats.org/drawingml/2006/main" noChangeShapeType="1"/>
        </cdr:cNvSpPr>
      </cdr:nvSpPr>
      <cdr:spPr bwMode="auto">
        <a:xfrm xmlns:a="http://schemas.openxmlformats.org/drawingml/2006/main" rot="5400000" flipH="1">
          <a:off x="4457255" y="4113626"/>
          <a:ext cx="535400" cy="100056"/>
        </a:xfrm>
        <a:prstGeom xmlns:a="http://schemas.openxmlformats.org/drawingml/2006/main" prst="bentConnector3">
          <a:avLst>
            <a:gd name="adj1" fmla="val 50000"/>
          </a:avLst>
        </a:prstGeom>
        <a:noFill xmlns:a="http://schemas.openxmlformats.org/drawingml/2006/main"/>
        <a:ln xmlns:a="http://schemas.openxmlformats.org/drawingml/2006/main" w="15875">
          <a:solidFill>
            <a:srgbClr val="0000FF"/>
          </a:solidFill>
          <a:miter lim="800000"/>
          <a:headEnd/>
          <a:tailEnd type="triangle" w="med" len="med"/>
        </a:ln>
      </cdr:spPr>
    </cdr:sp>
  </cdr:relSizeAnchor>
</c:userShapes>
</file>

<file path=xl/drawings/drawing4.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0.57075</cdr:x>
      <cdr:y>0.56</cdr:y>
    </cdr:from>
    <cdr:to>
      <cdr:x>0.68425</cdr:x>
      <cdr:y>0.592</cdr:y>
    </cdr:to>
    <cdr:sp macro="" textlink="DATA!$E$106">
      <cdr:nvSpPr>
        <cdr:cNvPr id="56323" name="Text Box 3"/>
        <cdr:cNvSpPr txBox="1">
          <a:spLocks xmlns:a="http://schemas.openxmlformats.org/drawingml/2006/main" noChangeArrowheads="1" noTextEdit="1"/>
        </cdr:cNvSpPr>
      </cdr:nvSpPr>
      <cdr:spPr bwMode="auto">
        <a:xfrm xmlns:a="http://schemas.openxmlformats.org/drawingml/2006/main">
          <a:off x="5218938" y="3168396"/>
          <a:ext cx="1037844"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69CA0EC-3BFB-4D0A-AF99-864E66925E3A}" type="TxLink">
            <a:rPr lang="fr-FR" sz="900" b="0" i="0" u="none" strike="noStrike" baseline="0">
              <a:solidFill>
                <a:srgbClr val="008080"/>
              </a:solidFill>
              <a:latin typeface="Arial"/>
              <a:cs typeface="Arial"/>
            </a:rPr>
            <a:pPr algn="ctr" rtl="0">
              <a:defRPr sz="1000"/>
            </a:pPr>
            <a:t>SunsetMark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0.32075</cdr:x>
      <cdr:y>0.559</cdr:y>
    </cdr:from>
    <cdr:to>
      <cdr:x>0.43225</cdr:x>
      <cdr:y>0.591</cdr:y>
    </cdr:to>
    <cdr:sp macro="" textlink="DATA!$E$108">
      <cdr:nvSpPr>
        <cdr:cNvPr id="56324" name="Text Box 4"/>
        <cdr:cNvSpPr txBox="1">
          <a:spLocks xmlns:a="http://schemas.openxmlformats.org/drawingml/2006/main" noChangeArrowheads="1" noTextEdit="1"/>
        </cdr:cNvSpPr>
      </cdr:nvSpPr>
      <cdr:spPr bwMode="auto">
        <a:xfrm xmlns:a="http://schemas.openxmlformats.org/drawingml/2006/main">
          <a:off x="2932938" y="3162738"/>
          <a:ext cx="1019556"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89282BAA-0373-4D3C-A4A1-ABDA037BC7DE}" type="TxLink">
            <a:rPr lang="fr-FR" sz="900" b="0" i="0" u="none" strike="noStrike" baseline="0">
              <a:solidFill>
                <a:srgbClr val="008080"/>
              </a:solidFill>
              <a:latin typeface="Arial"/>
              <a:cs typeface="Arial"/>
            </a:rPr>
            <a:pPr algn="ctr" rtl="0">
              <a:defRPr sz="1000"/>
            </a:pPr>
            <a:t>SunriseMark</a:t>
          </a:fld>
          <a:endParaRPr lang="fr-FR" sz="900" b="0" i="0" u="none" strike="noStrike" baseline="0">
            <a:solidFill>
              <a:srgbClr val="008080"/>
            </a:solidFill>
            <a:latin typeface="Arial"/>
            <a:cs typeface="Arial"/>
          </a:endParaRPr>
        </a:p>
      </cdr:txBody>
    </cdr:sp>
  </cdr:relSizeAnchor>
  <cdr:relSizeAnchor xmlns:cdr="http://schemas.openxmlformats.org/drawingml/2006/chartDrawing">
    <cdr:from>
      <cdr:x>0.03925</cdr:x>
      <cdr:y>0.07175</cdr:y>
    </cdr:from>
    <cdr:to>
      <cdr:x>0.608</cdr:x>
      <cdr:y>0.10375</cdr:y>
    </cdr:to>
    <cdr:sp macro="" textlink="DATA!$B$110">
      <cdr:nvSpPr>
        <cdr:cNvPr id="56332" name="Text Box 12"/>
        <cdr:cNvSpPr txBox="1">
          <a:spLocks xmlns:a="http://schemas.openxmlformats.org/drawingml/2006/main" noChangeArrowheads="1" noTextEdit="1"/>
        </cdr:cNvSpPr>
      </cdr:nvSpPr>
      <cdr:spPr bwMode="auto">
        <a:xfrm xmlns:a="http://schemas.openxmlformats.org/drawingml/2006/main">
          <a:off x="358902" y="405951"/>
          <a:ext cx="5200650" cy="181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3F76E002-9B46-4E1D-A773-856E23C636EB}" type="TxLink">
            <a:rPr lang="fr-FR" sz="1000" b="0" i="0" u="none" strike="noStrike" baseline="0">
              <a:solidFill>
                <a:srgbClr val="FF0000"/>
              </a:solidFill>
              <a:latin typeface="Arial"/>
              <a:cs typeface="Arial"/>
            </a:rPr>
            <a:pPr algn="ctr" rtl="0">
              <a:defRPr sz="1000"/>
            </a:pPr>
            <a:t> </a:t>
          </a:fld>
          <a:endParaRPr lang="fr-FR" sz="1000" b="0" i="0" u="none" strike="noStrike" baseline="0">
            <a:solidFill>
              <a:srgbClr val="FF0000"/>
            </a:solidFill>
            <a:latin typeface="Arial"/>
            <a:cs typeface="Arial"/>
          </a:endParaRPr>
        </a:p>
      </cdr:txBody>
    </cdr:sp>
  </cdr:relSizeAnchor>
  <cdr:relSizeAnchor xmlns:cdr="http://schemas.openxmlformats.org/drawingml/2006/chartDrawing">
    <cdr:from>
      <cdr:x>0.57725</cdr:x>
      <cdr:y>0.4435</cdr:y>
    </cdr:from>
    <cdr:to>
      <cdr:x>0.57725</cdr:x>
      <cdr:y>0.51175</cdr:y>
    </cdr:to>
    <cdr:sp macro="" textlink="">
      <cdr:nvSpPr>
        <cdr:cNvPr id="56334" name="Line 14"/>
        <cdr:cNvSpPr>
          <a:spLocks xmlns:a="http://schemas.openxmlformats.org/drawingml/2006/main" noChangeShapeType="1"/>
        </cdr:cNvSpPr>
      </cdr:nvSpPr>
      <cdr:spPr bwMode="auto">
        <a:xfrm xmlns:a="http://schemas.openxmlformats.org/drawingml/2006/main" flipH="1">
          <a:off x="5278374" y="2509256"/>
          <a:ext cx="0" cy="386149"/>
        </a:xfrm>
        <a:prstGeom xmlns:a="http://schemas.openxmlformats.org/drawingml/2006/main" prst="line">
          <a:avLst/>
        </a:prstGeom>
        <a:noFill xmlns:a="http://schemas.openxmlformats.org/drawingml/2006/main"/>
        <a:ln xmlns:a="http://schemas.openxmlformats.org/drawingml/2006/main" w="9525">
          <a:solidFill>
            <a:srgbClr val="993300"/>
          </a:solidFill>
          <a:round/>
          <a:headEnd/>
          <a:tailEnd type="triangle" w="med" len="med"/>
        </a:ln>
      </cdr:spPr>
    </cdr:sp>
  </cdr:relSizeAnchor>
  <cdr:relSizeAnchor xmlns:cdr="http://schemas.openxmlformats.org/drawingml/2006/chartDrawing">
    <cdr:from>
      <cdr:x>0.40575</cdr:x>
      <cdr:y>0.74075</cdr:y>
    </cdr:from>
    <cdr:to>
      <cdr:x>0.40575</cdr:x>
      <cdr:y>0.806</cdr:y>
    </cdr:to>
    <cdr:sp macro="" textlink="">
      <cdr:nvSpPr>
        <cdr:cNvPr id="56335" name="Line 15"/>
        <cdr:cNvSpPr>
          <a:spLocks xmlns:a="http://schemas.openxmlformats.org/drawingml/2006/main" noChangeShapeType="1"/>
        </cdr:cNvSpPr>
      </cdr:nvSpPr>
      <cdr:spPr bwMode="auto">
        <a:xfrm xmlns:a="http://schemas.openxmlformats.org/drawingml/2006/main" flipH="1" flipV="1">
          <a:off x="3710178" y="4191052"/>
          <a:ext cx="0" cy="369175"/>
        </a:xfrm>
        <a:prstGeom xmlns:a="http://schemas.openxmlformats.org/drawingml/2006/main" prst="line">
          <a:avLst/>
        </a:prstGeom>
        <a:noFill xmlns:a="http://schemas.openxmlformats.org/drawingml/2006/main"/>
        <a:ln xmlns:a="http://schemas.openxmlformats.org/drawingml/2006/main" w="9525">
          <a:solidFill>
            <a:srgbClr val="333399"/>
          </a:solidFill>
          <a:round/>
          <a:headEnd/>
          <a:tailEnd type="triangle" w="med" len="med"/>
        </a:ln>
      </cdr:spPr>
    </cdr:sp>
  </cdr:relSizeAnchor>
  <cdr:relSizeAnchor xmlns:cdr="http://schemas.openxmlformats.org/drawingml/2006/chartDrawing">
    <cdr:from>
      <cdr:x>0.3585</cdr:x>
      <cdr:y>0.81725</cdr:y>
    </cdr:from>
    <cdr:to>
      <cdr:x>0.42525</cdr:x>
      <cdr:y>0.8475</cdr:y>
    </cdr:to>
    <cdr:sp macro="" textlink="DATA!$H$63">
      <cdr:nvSpPr>
        <cdr:cNvPr id="56336" name="Text Box 16"/>
        <cdr:cNvSpPr txBox="1">
          <a:spLocks xmlns:a="http://schemas.openxmlformats.org/drawingml/2006/main" noChangeArrowheads="1" noTextEdit="1"/>
        </cdr:cNvSpPr>
      </cdr:nvSpPr>
      <cdr:spPr bwMode="auto">
        <a:xfrm xmlns:a="http://schemas.openxmlformats.org/drawingml/2006/main">
          <a:off x="3278124" y="4623878"/>
          <a:ext cx="610362"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E922C78B-8442-49EB-9281-CEEF8211E445}" type="TxLink">
            <a:rPr lang="fr-FR" sz="1000" b="1" i="0" u="none" strike="noStrike" baseline="0">
              <a:solidFill>
                <a:srgbClr val="333399"/>
              </a:solidFill>
              <a:latin typeface="Arial"/>
              <a:cs typeface="Arial"/>
            </a:rPr>
            <a:pPr algn="ctr" rtl="0">
              <a:defRPr sz="1000"/>
            </a:pPr>
            <a:t>01-janv </a:t>
          </a:fld>
          <a:endParaRPr lang="fr-FR" sz="1000" b="1" i="0" u="none" strike="noStrike" baseline="0">
            <a:solidFill>
              <a:srgbClr val="333399"/>
            </a:solidFill>
            <a:latin typeface="Arial"/>
            <a:cs typeface="Arial"/>
          </a:endParaRPr>
        </a:p>
      </cdr:txBody>
    </cdr:sp>
  </cdr:relSizeAnchor>
  <cdr:relSizeAnchor xmlns:cdr="http://schemas.openxmlformats.org/drawingml/2006/chartDrawing">
    <cdr:from>
      <cdr:x>0.55675</cdr:x>
      <cdr:y>0.4115</cdr:y>
    </cdr:from>
    <cdr:to>
      <cdr:x>0.6225</cdr:x>
      <cdr:y>0.44175</cdr:y>
    </cdr:to>
    <cdr:sp macro="" textlink="DATA!$H$71">
      <cdr:nvSpPr>
        <cdr:cNvPr id="56337" name="Text Box 17"/>
        <cdr:cNvSpPr txBox="1">
          <a:spLocks xmlns:a="http://schemas.openxmlformats.org/drawingml/2006/main" noChangeArrowheads="1" noTextEdit="1"/>
        </cdr:cNvSpPr>
      </cdr:nvSpPr>
      <cdr:spPr bwMode="auto">
        <a:xfrm xmlns:a="http://schemas.openxmlformats.org/drawingml/2006/main">
          <a:off x="5090922" y="2328205"/>
          <a:ext cx="601218" cy="1711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fld id="{6F35C39C-9A68-475F-8E5B-B7BB814BE936}" type="TxLink">
            <a:rPr lang="fr-FR" sz="1000" b="1" i="0" u="none" strike="noStrike" baseline="0">
              <a:solidFill>
                <a:srgbClr val="800000"/>
              </a:solidFill>
              <a:latin typeface="Arial"/>
              <a:cs typeface="Arial"/>
            </a:rPr>
            <a:pPr algn="ctr" rtl="0">
              <a:defRPr sz="1000"/>
            </a:pPr>
            <a:t>01-juil </a:t>
          </a:fld>
          <a:endParaRPr lang="fr-FR" sz="1000" b="1" i="0" u="none" strike="noStrike" baseline="0">
            <a:solidFill>
              <a:srgbClr val="8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144000" cy="56578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0.19325</cdr:x>
      <cdr:y>0.557</cdr:y>
    </cdr:from>
    <cdr:to>
      <cdr:x>0.828</cdr:x>
      <cdr:y>0.55775</cdr:y>
    </cdr:to>
    <cdr:sp macro="" textlink="">
      <cdr:nvSpPr>
        <cdr:cNvPr id="247833" name="Line 25"/>
        <cdr:cNvSpPr>
          <a:spLocks xmlns:a="http://schemas.openxmlformats.org/drawingml/2006/main" noChangeShapeType="1"/>
        </cdr:cNvSpPr>
      </cdr:nvSpPr>
      <cdr:spPr bwMode="auto">
        <a:xfrm xmlns:a="http://schemas.openxmlformats.org/drawingml/2006/main">
          <a:off x="1767078" y="3151422"/>
          <a:ext cx="5804154" cy="4244"/>
        </a:xfrm>
        <a:prstGeom xmlns:a="http://schemas.openxmlformats.org/drawingml/2006/main" prst="line">
          <a:avLst/>
        </a:prstGeom>
        <a:noFill xmlns:a="http://schemas.openxmlformats.org/drawingml/2006/main"/>
        <a:ln xmlns:a="http://schemas.openxmlformats.org/drawingml/2006/main" w="19050">
          <a:solidFill>
            <a:srgbClr val="000000"/>
          </a:solidFill>
          <a:round/>
          <a:headEnd/>
          <a:tailEnd/>
        </a:ln>
      </cdr:spPr>
    </cdr:sp>
  </cdr:relSizeAnchor>
  <cdr:relSizeAnchor xmlns:cdr="http://schemas.openxmlformats.org/drawingml/2006/chartDrawing">
    <cdr:from>
      <cdr:x>0.156</cdr:x>
      <cdr:y>0.5205</cdr:y>
    </cdr:from>
    <cdr:to>
      <cdr:x>0.21325</cdr:x>
      <cdr:y>0.5845</cdr:y>
    </cdr:to>
    <cdr:sp macro="" textlink="">
      <cdr:nvSpPr>
        <cdr:cNvPr id="247834" name="Text Box 26"/>
        <cdr:cNvSpPr txBox="1">
          <a:spLocks xmlns:a="http://schemas.openxmlformats.org/drawingml/2006/main" noChangeArrowheads="1"/>
        </cdr:cNvSpPr>
      </cdr:nvSpPr>
      <cdr:spPr bwMode="auto">
        <a:xfrm xmlns:a="http://schemas.openxmlformats.org/drawingml/2006/main">
          <a:off x="1426464" y="2944911"/>
          <a:ext cx="523494"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West</a:t>
          </a:r>
        </a:p>
        <a:p xmlns:a="http://schemas.openxmlformats.org/drawingml/2006/main">
          <a:pPr algn="l" rtl="0">
            <a:defRPr sz="1000"/>
          </a:pPr>
          <a:r>
            <a:rPr lang="fr-FR" sz="1400" b="0" i="0" u="none" strike="noStrike" baseline="0">
              <a:solidFill>
                <a:srgbClr val="000000"/>
              </a:solidFill>
              <a:latin typeface="Arial"/>
              <a:cs typeface="Arial"/>
            </a:rPr>
            <a:t>Equinox</a:t>
          </a:r>
        </a:p>
      </cdr:txBody>
    </cdr:sp>
  </cdr:relSizeAnchor>
  <cdr:relSizeAnchor xmlns:cdr="http://schemas.openxmlformats.org/drawingml/2006/chartDrawing">
    <cdr:from>
      <cdr:x>0.81825</cdr:x>
      <cdr:y>0.5205</cdr:y>
    </cdr:from>
    <cdr:to>
      <cdr:x>0.88075</cdr:x>
      <cdr:y>0.5845</cdr:y>
    </cdr:to>
    <cdr:sp macro="" textlink="">
      <cdr:nvSpPr>
        <cdr:cNvPr id="247835" name="Text Box 27"/>
        <cdr:cNvSpPr txBox="1">
          <a:spLocks xmlns:a="http://schemas.openxmlformats.org/drawingml/2006/main" noChangeArrowheads="1"/>
        </cdr:cNvSpPr>
      </cdr:nvSpPr>
      <cdr:spPr bwMode="auto">
        <a:xfrm xmlns:a="http://schemas.openxmlformats.org/drawingml/2006/main">
          <a:off x="7482078" y="2944911"/>
          <a:ext cx="571500" cy="36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fr-FR" sz="1400" b="0" i="0" u="none" strike="noStrike" baseline="0">
              <a:solidFill>
                <a:srgbClr val="000000"/>
              </a:solidFill>
              <a:latin typeface="Arial"/>
              <a:cs typeface="Arial"/>
            </a:rPr>
            <a:t>  East</a:t>
          </a:r>
        </a:p>
        <a:p xmlns:a="http://schemas.openxmlformats.org/drawingml/2006/main">
          <a:pPr algn="l" rtl="0">
            <a:defRPr sz="1000"/>
          </a:pPr>
          <a:r>
            <a:rPr lang="fr-FR" sz="1400" b="0" i="0" u="none" strike="noStrike" baseline="0">
              <a:solidFill>
                <a:srgbClr val="000000"/>
              </a:solidFill>
              <a:latin typeface="Arial"/>
              <a:cs typeface="Arial"/>
            </a:rPr>
            <a:t>Solstices</a:t>
          </a:r>
        </a:p>
      </cdr:txBody>
    </cdr:sp>
  </cdr:relSizeAnchor>
  <cdr:relSizeAnchor xmlns:cdr="http://schemas.openxmlformats.org/drawingml/2006/chartDrawing">
    <cdr:from>
      <cdr:x>0.60475</cdr:x>
      <cdr:y>0.48675</cdr:y>
    </cdr:from>
    <cdr:to>
      <cdr:x>0.69025</cdr:x>
      <cdr:y>0.571</cdr:y>
    </cdr:to>
    <cdr:sp macro="" textlink="">
      <cdr:nvSpPr>
        <cdr:cNvPr id="247836" name="Text Box 28"/>
        <cdr:cNvSpPr txBox="1">
          <a:spLocks xmlns:a="http://schemas.openxmlformats.org/drawingml/2006/main" noChangeArrowheads="1"/>
        </cdr:cNvSpPr>
      </cdr:nvSpPr>
      <cdr:spPr bwMode="auto">
        <a:xfrm xmlns:a="http://schemas.openxmlformats.org/drawingml/2006/main">
          <a:off x="5529834" y="2753958"/>
          <a:ext cx="781812" cy="4766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June &amp; </a:t>
          </a:r>
        </a:p>
        <a:p xmlns:a="http://schemas.openxmlformats.org/drawingml/2006/main">
          <a:pPr algn="l" rtl="0">
            <a:defRPr sz="1000"/>
          </a:pPr>
          <a:r>
            <a:rPr lang="fr-FR" sz="1200" b="0" i="0" u="none" strike="noStrike" baseline="0">
              <a:solidFill>
                <a:srgbClr val="000000"/>
              </a:solidFill>
              <a:latin typeface="Arial"/>
              <a:cs typeface="Arial"/>
            </a:rPr>
            <a:t>December</a:t>
          </a:r>
        </a:p>
        <a:p xmlns:a="http://schemas.openxmlformats.org/drawingml/2006/main">
          <a:pPr algn="l" rtl="0">
            <a:defRPr sz="1000"/>
          </a:pPr>
          <a:endParaRPr lang="fr-FR" sz="1200" b="0" i="0" u="none" strike="noStrike" baseline="0">
            <a:solidFill>
              <a:srgbClr val="000000"/>
            </a:solidFill>
            <a:latin typeface="Arial"/>
            <a:cs typeface="Arial"/>
          </a:endParaRPr>
        </a:p>
      </cdr:txBody>
    </cdr:sp>
  </cdr:relSizeAnchor>
  <cdr:relSizeAnchor xmlns:cdr="http://schemas.openxmlformats.org/drawingml/2006/chartDrawing">
    <cdr:from>
      <cdr:x>0.564</cdr:x>
      <cdr:y>0.71825</cdr:y>
    </cdr:from>
    <cdr:to>
      <cdr:x>0.613</cdr:x>
      <cdr:y>0.772</cdr:y>
    </cdr:to>
    <cdr:sp macro="" textlink="">
      <cdr:nvSpPr>
        <cdr:cNvPr id="247837" name="Text Box 29"/>
        <cdr:cNvSpPr txBox="1">
          <a:spLocks xmlns:a="http://schemas.openxmlformats.org/drawingml/2006/main" noChangeArrowheads="1"/>
        </cdr:cNvSpPr>
      </cdr:nvSpPr>
      <cdr:spPr bwMode="auto">
        <a:xfrm xmlns:a="http://schemas.openxmlformats.org/drawingml/2006/main">
          <a:off x="5157216" y="4063751"/>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July &amp;</a:t>
          </a:r>
        </a:p>
        <a:p xmlns:a="http://schemas.openxmlformats.org/drawingml/2006/main">
          <a:pPr algn="l" rtl="0">
            <a:defRPr sz="1000"/>
          </a:pPr>
          <a:r>
            <a:rPr lang="fr-FR" sz="1200" b="0" i="0" u="none" strike="noStrike" baseline="0">
              <a:solidFill>
                <a:srgbClr val="000000"/>
              </a:solidFill>
              <a:latin typeface="Arial"/>
              <a:cs typeface="Arial"/>
            </a:rPr>
            <a:t>January</a:t>
          </a:r>
        </a:p>
      </cdr:txBody>
    </cdr:sp>
  </cdr:relSizeAnchor>
  <cdr:relSizeAnchor xmlns:cdr="http://schemas.openxmlformats.org/drawingml/2006/chartDrawing">
    <cdr:from>
      <cdr:x>0.4225</cdr:x>
      <cdr:y>0.77375</cdr:y>
    </cdr:from>
    <cdr:to>
      <cdr:x>0.47775</cdr:x>
      <cdr:y>0.8275</cdr:y>
    </cdr:to>
    <cdr:sp macro="" textlink="">
      <cdr:nvSpPr>
        <cdr:cNvPr id="247838" name="Text Box 30"/>
        <cdr:cNvSpPr txBox="1">
          <a:spLocks xmlns:a="http://schemas.openxmlformats.org/drawingml/2006/main" noChangeArrowheads="1"/>
        </cdr:cNvSpPr>
      </cdr:nvSpPr>
      <cdr:spPr bwMode="auto">
        <a:xfrm xmlns:a="http://schemas.openxmlformats.org/drawingml/2006/main">
          <a:off x="3863340" y="4377761"/>
          <a:ext cx="505206"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August &amp;</a:t>
          </a:r>
        </a:p>
        <a:p xmlns:a="http://schemas.openxmlformats.org/drawingml/2006/main">
          <a:pPr algn="l" rtl="0">
            <a:defRPr sz="1000"/>
          </a:pPr>
          <a:r>
            <a:rPr lang="fr-FR" sz="1200" b="0" i="0" u="none" strike="noStrike" baseline="0">
              <a:solidFill>
                <a:srgbClr val="000000"/>
              </a:solidFill>
              <a:latin typeface="Arial"/>
              <a:cs typeface="Arial"/>
            </a:rPr>
            <a:t>February</a:t>
          </a:r>
        </a:p>
      </cdr:txBody>
    </cdr:sp>
  </cdr:relSizeAnchor>
  <cdr:relSizeAnchor xmlns:cdr="http://schemas.openxmlformats.org/drawingml/2006/chartDrawing">
    <cdr:from>
      <cdr:x>0.301</cdr:x>
      <cdr:y>0.57125</cdr:y>
    </cdr:from>
    <cdr:to>
      <cdr:x>0.36775</cdr:x>
      <cdr:y>0.6285</cdr:y>
    </cdr:to>
    <cdr:sp macro="" textlink="">
      <cdr:nvSpPr>
        <cdr:cNvPr id="247839" name="Text Box 31"/>
        <cdr:cNvSpPr txBox="1">
          <a:spLocks xmlns:a="http://schemas.openxmlformats.org/drawingml/2006/main" noChangeArrowheads="1"/>
        </cdr:cNvSpPr>
      </cdr:nvSpPr>
      <cdr:spPr bwMode="auto">
        <a:xfrm xmlns:a="http://schemas.openxmlformats.org/drawingml/2006/main">
          <a:off x="2752344" y="3232047"/>
          <a:ext cx="610362" cy="3239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September</a:t>
          </a:r>
        </a:p>
        <a:p xmlns:a="http://schemas.openxmlformats.org/drawingml/2006/main">
          <a:pPr algn="l" rtl="0">
            <a:defRPr sz="1000"/>
          </a:pPr>
          <a:r>
            <a:rPr lang="fr-FR" sz="1200" b="0" i="0" u="none" strike="noStrike" baseline="0">
              <a:solidFill>
                <a:srgbClr val="000000"/>
              </a:solidFill>
              <a:latin typeface="Arial"/>
              <a:cs typeface="Arial"/>
            </a:rPr>
            <a:t> &amp; March</a:t>
          </a:r>
        </a:p>
      </cdr:txBody>
    </cdr:sp>
  </cdr:relSizeAnchor>
  <cdr:relSizeAnchor xmlns:cdr="http://schemas.openxmlformats.org/drawingml/2006/chartDrawing">
    <cdr:from>
      <cdr:x>0.35525</cdr:x>
      <cdr:y>0.315</cdr:y>
    </cdr:from>
    <cdr:to>
      <cdr:x>0.40425</cdr:x>
      <cdr:y>0.36875</cdr:y>
    </cdr:to>
    <cdr:sp macro="" textlink="">
      <cdr:nvSpPr>
        <cdr:cNvPr id="247840" name="Text Box 32"/>
        <cdr:cNvSpPr txBox="1">
          <a:spLocks xmlns:a="http://schemas.openxmlformats.org/drawingml/2006/main" noChangeArrowheads="1"/>
        </cdr:cNvSpPr>
      </cdr:nvSpPr>
      <cdr:spPr bwMode="auto">
        <a:xfrm xmlns:a="http://schemas.openxmlformats.org/drawingml/2006/main">
          <a:off x="3248406" y="1782223"/>
          <a:ext cx="448056" cy="3041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April &amp;</a:t>
          </a:r>
        </a:p>
        <a:p xmlns:a="http://schemas.openxmlformats.org/drawingml/2006/main">
          <a:pPr algn="l" rtl="0">
            <a:defRPr sz="1000"/>
          </a:pPr>
          <a:r>
            <a:rPr lang="fr-FR" sz="1200" b="0" i="0" u="none" strike="noStrike" baseline="0">
              <a:solidFill>
                <a:srgbClr val="000000"/>
              </a:solidFill>
              <a:latin typeface="Arial"/>
              <a:cs typeface="Arial"/>
            </a:rPr>
            <a:t>October</a:t>
          </a:r>
        </a:p>
      </cdr:txBody>
    </cdr:sp>
  </cdr:relSizeAnchor>
  <cdr:relSizeAnchor xmlns:cdr="http://schemas.openxmlformats.org/drawingml/2006/chartDrawing">
    <cdr:from>
      <cdr:x>0.50825</cdr:x>
      <cdr:y>0.28225</cdr:y>
    </cdr:from>
    <cdr:to>
      <cdr:x>0.56875</cdr:x>
      <cdr:y>0.336</cdr:y>
    </cdr:to>
    <cdr:sp macro="" textlink="">
      <cdr:nvSpPr>
        <cdr:cNvPr id="247841" name="Text Box 33"/>
        <cdr:cNvSpPr txBox="1">
          <a:spLocks xmlns:a="http://schemas.openxmlformats.org/drawingml/2006/main" noChangeArrowheads="1"/>
        </cdr:cNvSpPr>
      </cdr:nvSpPr>
      <cdr:spPr bwMode="auto">
        <a:xfrm xmlns:a="http://schemas.openxmlformats.org/drawingml/2006/main">
          <a:off x="4647438" y="1596928"/>
          <a:ext cx="553212" cy="3041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   May &amp;</a:t>
          </a:r>
        </a:p>
        <a:p xmlns:a="http://schemas.openxmlformats.org/drawingml/2006/main">
          <a:pPr algn="l" rtl="0">
            <a:defRPr sz="1000"/>
          </a:pPr>
          <a:r>
            <a:rPr lang="fr-FR" sz="1200" b="0" i="0" u="none" strike="noStrike" baseline="0">
              <a:solidFill>
                <a:srgbClr val="000000"/>
              </a:solidFill>
              <a:latin typeface="Arial"/>
              <a:cs typeface="Arial"/>
            </a:rPr>
            <a:t>November</a:t>
          </a:r>
        </a:p>
      </cdr:txBody>
    </cdr:sp>
  </cdr:relSizeAnchor>
  <cdr:relSizeAnchor xmlns:cdr="http://schemas.openxmlformats.org/drawingml/2006/chartDrawing">
    <cdr:from>
      <cdr:x>0.45325</cdr:x>
      <cdr:y>0.1945</cdr:y>
    </cdr:from>
    <cdr:to>
      <cdr:x>0.4535</cdr:x>
      <cdr:y>0.557</cdr:y>
    </cdr:to>
    <cdr:sp macro="" textlink="">
      <cdr:nvSpPr>
        <cdr:cNvPr id="247842" name="Line 34"/>
        <cdr:cNvSpPr>
          <a:spLocks xmlns:a="http://schemas.openxmlformats.org/drawingml/2006/main" noChangeShapeType="1"/>
        </cdr:cNvSpPr>
      </cdr:nvSpPr>
      <cdr:spPr bwMode="auto">
        <a:xfrm xmlns:a="http://schemas.openxmlformats.org/drawingml/2006/main">
          <a:off x="4144518" y="1100452"/>
          <a:ext cx="2286" cy="2050970"/>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0.5425</cdr:x>
      <cdr:y>0.55775</cdr:y>
    </cdr:from>
    <cdr:to>
      <cdr:x>0.543</cdr:x>
      <cdr:y>0.919</cdr:y>
    </cdr:to>
    <cdr:sp macro="" textlink="">
      <cdr:nvSpPr>
        <cdr:cNvPr id="247843" name="Line 35"/>
        <cdr:cNvSpPr>
          <a:spLocks xmlns:a="http://schemas.openxmlformats.org/drawingml/2006/main" noChangeShapeType="1"/>
        </cdr:cNvSpPr>
      </cdr:nvSpPr>
      <cdr:spPr bwMode="auto">
        <a:xfrm xmlns:a="http://schemas.openxmlformats.org/drawingml/2006/main" flipV="1">
          <a:off x="4960620" y="3155666"/>
          <a:ext cx="4572" cy="2043898"/>
        </a:xfrm>
        <a:prstGeom xmlns:a="http://schemas.openxmlformats.org/drawingml/2006/main" prst="line">
          <a:avLst/>
        </a:prstGeom>
        <a:noFill xmlns:a="http://schemas.openxmlformats.org/drawingml/2006/main"/>
        <a:ln xmlns:a="http://schemas.openxmlformats.org/drawingml/2006/main" w="9525">
          <a:solidFill>
            <a:srgbClr val="000000"/>
          </a:solidFill>
          <a:prstDash val="sysDot"/>
          <a:round/>
          <a:headEnd/>
          <a:tailEnd type="triangle" w="med" len="med"/>
        </a:ln>
      </cdr:spPr>
    </cdr:sp>
  </cdr:relSizeAnchor>
  <cdr:relSizeAnchor xmlns:cdr="http://schemas.openxmlformats.org/drawingml/2006/chartDrawing">
    <cdr:from>
      <cdr:x>0.75425</cdr:x>
      <cdr:y>0.1855</cdr:y>
    </cdr:from>
    <cdr:to>
      <cdr:x>0.8615</cdr:x>
      <cdr:y>0.28825</cdr:y>
    </cdr:to>
    <cdr:sp macro="" textlink="">
      <cdr:nvSpPr>
        <cdr:cNvPr id="247844" name="Text Box 36"/>
        <cdr:cNvSpPr txBox="1">
          <a:spLocks xmlns:a="http://schemas.openxmlformats.org/drawingml/2006/main" noChangeArrowheads="1"/>
        </cdr:cNvSpPr>
      </cdr:nvSpPr>
      <cdr:spPr bwMode="auto">
        <a:xfrm xmlns:a="http://schemas.openxmlformats.org/drawingml/2006/main">
          <a:off x="6896862" y="1049531"/>
          <a:ext cx="980694" cy="581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Sunset Marker is </a:t>
          </a:r>
        </a:p>
        <a:p xmlns:a="http://schemas.openxmlformats.org/drawingml/2006/main">
          <a:pPr algn="l" rtl="0">
            <a:defRPr sz="1000"/>
          </a:pPr>
          <a:r>
            <a:rPr lang="fr-FR" sz="1200" b="0" i="0" u="none" strike="noStrike" baseline="0">
              <a:solidFill>
                <a:srgbClr val="000000"/>
              </a:solidFill>
              <a:latin typeface="Arial"/>
              <a:cs typeface="Arial"/>
            </a:rPr>
            <a:t>the mirror immage</a:t>
          </a:r>
        </a:p>
        <a:p xmlns:a="http://schemas.openxmlformats.org/drawingml/2006/main">
          <a:pPr algn="l" rtl="0">
            <a:defRPr sz="1000"/>
          </a:pPr>
          <a:r>
            <a:rPr lang="fr-FR" sz="1200" b="0" i="0" u="none" strike="noStrike" baseline="0">
              <a:solidFill>
                <a:srgbClr val="000000"/>
              </a:solidFill>
              <a:latin typeface="Arial"/>
              <a:cs typeface="Arial"/>
            </a:rPr>
            <a:t> on the east side of</a:t>
          </a:r>
        </a:p>
        <a:p xmlns:a="http://schemas.openxmlformats.org/drawingml/2006/main">
          <a:pPr algn="l" rtl="0">
            <a:defRPr sz="1000"/>
          </a:pPr>
          <a:r>
            <a:rPr lang="fr-FR" sz="1200" b="0" i="0" u="none" strike="noStrike" baseline="0">
              <a:solidFill>
                <a:srgbClr val="000000"/>
              </a:solidFill>
              <a:latin typeface="Arial"/>
              <a:cs typeface="Arial"/>
            </a:rPr>
            <a:t> the N / S axis</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0.05575</cdr:x>
      <cdr:y>0.81175</cdr:y>
    </cdr:from>
    <cdr:to>
      <cdr:x>0.25575</cdr:x>
      <cdr:y>0.9195</cdr:y>
    </cdr:to>
    <cdr:sp macro="" textlink="">
      <cdr:nvSpPr>
        <cdr:cNvPr id="247845" name="Text Box 37"/>
        <cdr:cNvSpPr txBox="1">
          <a:spLocks xmlns:a="http://schemas.openxmlformats.org/drawingml/2006/main" noChangeArrowheads="1"/>
        </cdr:cNvSpPr>
      </cdr:nvSpPr>
      <cdr:spPr bwMode="auto">
        <a:xfrm xmlns:a="http://schemas.openxmlformats.org/drawingml/2006/main">
          <a:off x="509778" y="4592760"/>
          <a:ext cx="1828800" cy="609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Drop a perpendicular from</a:t>
          </a:r>
        </a:p>
        <a:p xmlns:a="http://schemas.openxmlformats.org/drawingml/2006/main">
          <a:pPr algn="l" rtl="0">
            <a:defRPr sz="1000"/>
          </a:pPr>
          <a:r>
            <a:rPr lang="fr-FR" sz="1200" b="0" i="0" u="none" strike="noStrike" baseline="0">
              <a:solidFill>
                <a:srgbClr val="000000"/>
              </a:solidFill>
              <a:latin typeface="Arial"/>
              <a:cs typeface="Arial"/>
            </a:rPr>
            <a:t>the date around the circumference</a:t>
          </a:r>
        </a:p>
        <a:p xmlns:a="http://schemas.openxmlformats.org/drawingml/2006/main">
          <a:pPr algn="l" rtl="0">
            <a:defRPr sz="1000"/>
          </a:pPr>
          <a:r>
            <a:rPr lang="fr-FR" sz="1200" b="0" i="0" u="none" strike="noStrike" baseline="0">
              <a:solidFill>
                <a:srgbClr val="000000"/>
              </a:solidFill>
              <a:latin typeface="Arial"/>
              <a:cs typeface="Arial"/>
            </a:rPr>
            <a:t>to the E / W axis to dertemine the</a:t>
          </a:r>
        </a:p>
        <a:p xmlns:a="http://schemas.openxmlformats.org/drawingml/2006/main">
          <a:pPr algn="l" rtl="0">
            <a:defRPr sz="1000"/>
          </a:pPr>
          <a:r>
            <a:rPr lang="fr-FR" sz="1200" b="0" i="0" u="none" strike="noStrike" baseline="0">
              <a:solidFill>
                <a:srgbClr val="000000"/>
              </a:solidFill>
              <a:latin typeface="Arial"/>
              <a:cs typeface="Arial"/>
            </a:rPr>
            <a:t>precise sunrise marker for that date</a:t>
          </a:r>
          <a:r>
            <a:rPr lang="fr-FR" sz="1000" b="0" i="0" u="none" strike="noStrike" baseline="0">
              <a:solidFill>
                <a:srgbClr val="000000"/>
              </a:solidFill>
              <a:latin typeface="Arial"/>
              <a:cs typeface="Arial"/>
            </a:rPr>
            <a:t> </a:t>
          </a:r>
        </a:p>
      </cdr:txBody>
    </cdr:sp>
  </cdr:relSizeAnchor>
  <cdr:relSizeAnchor xmlns:cdr="http://schemas.openxmlformats.org/drawingml/2006/chartDrawing">
    <cdr:from>
      <cdr:x>0</cdr:x>
      <cdr:y>0.14</cdr:y>
    </cdr:from>
    <cdr:to>
      <cdr:x>0.1115</cdr:x>
      <cdr:y>0.26625</cdr:y>
    </cdr:to>
    <cdr:sp macro="" textlink="">
      <cdr:nvSpPr>
        <cdr:cNvPr id="247846" name="Text Box 38"/>
        <cdr:cNvSpPr txBox="1">
          <a:spLocks xmlns:a="http://schemas.openxmlformats.org/drawingml/2006/main" noChangeArrowheads="1"/>
        </cdr:cNvSpPr>
      </cdr:nvSpPr>
      <cdr:spPr bwMode="auto">
        <a:xfrm xmlns:a="http://schemas.openxmlformats.org/drawingml/2006/main">
          <a:off x="0" y="792099"/>
          <a:ext cx="1019556" cy="71430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r>
            <a:rPr lang="fr-FR" sz="1200" b="0" i="0" u="none" strike="noStrike" baseline="0">
              <a:solidFill>
                <a:srgbClr val="000000"/>
              </a:solidFill>
              <a:latin typeface="Arial"/>
              <a:cs typeface="Arial"/>
            </a:rPr>
            <a:t>Semidiameter E/W=</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Center   =</a:t>
          </a:r>
        </a:p>
        <a:p xmlns:a="http://schemas.openxmlformats.org/drawingml/2006/main">
          <a:pPr algn="l" rtl="0">
            <a:defRPr sz="1000"/>
          </a:pPr>
          <a:endParaRPr lang="fr-FR" sz="1200" b="0" i="0" u="none" strike="noStrike" baseline="0">
            <a:solidFill>
              <a:srgbClr val="000000"/>
            </a:solidFill>
            <a:latin typeface="Arial"/>
            <a:cs typeface="Arial"/>
          </a:endParaRPr>
        </a:p>
        <a:p xmlns:a="http://schemas.openxmlformats.org/drawingml/2006/main">
          <a:pPr algn="l" rtl="0">
            <a:defRPr sz="1000"/>
          </a:pPr>
          <a:r>
            <a:rPr lang="fr-FR" sz="1200" b="0" i="0" u="none" strike="noStrike" baseline="0">
              <a:solidFill>
                <a:srgbClr val="000000"/>
              </a:solidFill>
              <a:latin typeface="Arial"/>
              <a:cs typeface="Arial"/>
            </a:rPr>
            <a:t>Epicycle Diameter =</a:t>
          </a:r>
        </a:p>
      </cdr:txBody>
    </cdr:sp>
  </cdr:relSizeAnchor>
  <cdr:relSizeAnchor xmlns:cdr="http://schemas.openxmlformats.org/drawingml/2006/chartDrawing">
    <cdr:from>
      <cdr:x>0.54625</cdr:x>
      <cdr:y>0.86125</cdr:y>
    </cdr:from>
    <cdr:to>
      <cdr:x>0.5525</cdr:x>
      <cdr:y>0.88975</cdr:y>
    </cdr:to>
    <cdr:sp macro="" textlink="">
      <cdr:nvSpPr>
        <cdr:cNvPr id="247847" name="Text Box 39"/>
        <cdr:cNvSpPr txBox="1">
          <a:spLocks xmlns:a="http://schemas.openxmlformats.org/drawingml/2006/main" noChangeArrowheads="1"/>
        </cdr:cNvSpPr>
      </cdr:nvSpPr>
      <cdr:spPr bwMode="auto">
        <a:xfrm xmlns:a="http://schemas.openxmlformats.org/drawingml/2006/main">
          <a:off x="4994910" y="4872823"/>
          <a:ext cx="57150" cy="161249"/>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0.53425</cdr:x>
      <cdr:y>0.83275</cdr:y>
    </cdr:from>
    <cdr:to>
      <cdr:x>0.5405</cdr:x>
      <cdr:y>0.86125</cdr:y>
    </cdr:to>
    <cdr:sp macro="" textlink="">
      <cdr:nvSpPr>
        <cdr:cNvPr id="247848" name="Text Box 40"/>
        <cdr:cNvSpPr txBox="1">
          <a:spLocks xmlns:a="http://schemas.openxmlformats.org/drawingml/2006/main" noChangeArrowheads="1"/>
        </cdr:cNvSpPr>
      </cdr:nvSpPr>
      <cdr:spPr bwMode="auto">
        <a:xfrm xmlns:a="http://schemas.openxmlformats.org/drawingml/2006/main">
          <a:off x="4885182" y="4711575"/>
          <a:ext cx="57150" cy="161248"/>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0.15775</cdr:x>
      <cdr:y>0.259</cdr:y>
    </cdr:from>
    <cdr:to>
      <cdr:x>0.23175</cdr:x>
      <cdr:y>0.30275</cdr:y>
    </cdr:to>
    <cdr:sp macro="" textlink="DATA!$N$100">
      <cdr:nvSpPr>
        <cdr:cNvPr id="247849" name="Text Box 41"/>
        <cdr:cNvSpPr txBox="1">
          <a:spLocks xmlns:a="http://schemas.openxmlformats.org/drawingml/2006/main" noChangeArrowheads="1" noTextEdit="1"/>
        </cdr:cNvSpPr>
      </cdr:nvSpPr>
      <cdr:spPr bwMode="auto">
        <a:xfrm xmlns:a="http://schemas.openxmlformats.org/drawingml/2006/main">
          <a:off x="1442466" y="1465383"/>
          <a:ext cx="676656"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6F63AC0F-90C2-4F27-BC56-EB35FAB6275A}" type="TxLink">
            <a:rPr lang="fr-FR" sz="1200" b="0" i="0" u="none" strike="noStrike" baseline="0">
              <a:solidFill>
                <a:srgbClr val="C0C0C0"/>
              </a:solidFill>
              <a:latin typeface="Courier"/>
            </a:rPr>
            <a:pPr algn="l" rtl="0">
              <a:defRPr sz="1000"/>
            </a:pPr>
            <a:t>0.042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0.1575</cdr:x>
      <cdr:y>0.19525</cdr:y>
    </cdr:from>
    <cdr:to>
      <cdr:x>0.2295</cdr:x>
      <cdr:y>0.239</cdr:y>
    </cdr:to>
    <cdr:sp macro="" textlink="DATA!$N$101">
      <cdr:nvSpPr>
        <cdr:cNvPr id="247850" name="Text Box 42"/>
        <cdr:cNvSpPr txBox="1">
          <a:spLocks xmlns:a="http://schemas.openxmlformats.org/drawingml/2006/main" noChangeArrowheads="1" noTextEdit="1"/>
        </cdr:cNvSpPr>
      </cdr:nvSpPr>
      <cdr:spPr bwMode="auto">
        <a:xfrm xmlns:a="http://schemas.openxmlformats.org/drawingml/2006/main">
          <a:off x="1440180" y="1104695"/>
          <a:ext cx="658368" cy="24753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fld id="{1CAAF11E-7E4D-4CB3-8080-8A8B07060583}" type="TxLink">
            <a:rPr lang="fr-FR" sz="1200" b="0" i="0" u="none" strike="noStrike" baseline="0">
              <a:solidFill>
                <a:srgbClr val="C0C0C0"/>
              </a:solidFill>
              <a:latin typeface="Courier"/>
            </a:rPr>
            <a:pPr algn="l" rtl="0">
              <a:defRPr sz="1000"/>
            </a:pPr>
            <a:t>1.542 </a:t>
          </a:fld>
          <a:endParaRPr lang="fr-FR" sz="1200" b="0" i="0" u="none" strike="noStrike" baseline="0">
            <a:solidFill>
              <a:srgbClr val="C0C0C0"/>
            </a:solidFill>
            <a:latin typeface="Courier"/>
          </a:endParaRPr>
        </a:p>
      </cdr:txBody>
    </cdr:sp>
  </cdr:relSizeAnchor>
  <cdr:relSizeAnchor xmlns:cdr="http://schemas.openxmlformats.org/drawingml/2006/chartDrawing">
    <cdr:from>
      <cdr:x>0.1585</cdr:x>
      <cdr:y>0.12725</cdr:y>
    </cdr:from>
    <cdr:to>
      <cdr:x>0.20833</cdr:x>
      <cdr:y>0.16262</cdr:y>
    </cdr:to>
    <cdr:sp macro="" textlink="DATA!$C$15">
      <cdr:nvSpPr>
        <cdr:cNvPr id="247851" name="Text Box 43"/>
        <cdr:cNvSpPr txBox="1">
          <a:spLocks xmlns:a="http://schemas.openxmlformats.org/drawingml/2006/main" noChangeArrowheads="1" noTextEdit="1"/>
        </cdr:cNvSpPr>
      </cdr:nvSpPr>
      <cdr:spPr bwMode="auto">
        <a:xfrm xmlns:a="http://schemas.openxmlformats.org/drawingml/2006/main">
          <a:off x="1449324" y="719961"/>
          <a:ext cx="455638" cy="2001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27432" tIns="22860" rIns="0" bIns="0" anchor="t" upright="1">
          <a:spAutoFit/>
        </a:bodyPr>
        <a:lstStyle xmlns:a="http://schemas.openxmlformats.org/drawingml/2006/main"/>
        <a:p xmlns:a="http://schemas.openxmlformats.org/drawingml/2006/main">
          <a:pPr algn="l" rtl="0">
            <a:defRPr sz="1000"/>
          </a:pPr>
          <a:fld id="{C5082E32-3881-4040-97E5-616D76233B6F}" type="TxLink">
            <a:rPr lang="fr-FR" sz="1200" b="0" i="0" u="none" strike="noStrike" baseline="0">
              <a:solidFill>
                <a:srgbClr val="000000"/>
              </a:solidFill>
              <a:latin typeface="Courier"/>
            </a:rPr>
            <a:pPr algn="l" rtl="0">
              <a:defRPr sz="1000"/>
            </a:pPr>
            <a:t>2.000 </a:t>
          </a:fld>
          <a:endParaRPr lang="fr-FR" sz="1200" b="0" i="0" u="none" strike="noStrike" baseline="0">
            <a:solidFill>
              <a:srgbClr val="000000"/>
            </a:solidFill>
            <a:latin typeface="Courier"/>
          </a:endParaRPr>
        </a:p>
      </cdr:txBody>
    </cdr:sp>
  </cdr:relSizeAnchor>
  <cdr:relSizeAnchor xmlns:cdr="http://schemas.openxmlformats.org/drawingml/2006/chartDrawing">
    <cdr:from>
      <cdr:x>0.42075</cdr:x>
      <cdr:y>0.0705</cdr:y>
    </cdr:from>
    <cdr:to>
      <cdr:x>0.55375</cdr:x>
      <cdr:y>0.10375</cdr:y>
    </cdr:to>
    <cdr:sp macro="" textlink="">
      <cdr:nvSpPr>
        <cdr:cNvPr id="247852" name="Text Box 44"/>
        <cdr:cNvSpPr txBox="1">
          <a:spLocks xmlns:a="http://schemas.openxmlformats.org/drawingml/2006/main" noChangeArrowheads="1"/>
        </cdr:cNvSpPr>
      </cdr:nvSpPr>
      <cdr:spPr bwMode="auto">
        <a:xfrm xmlns:a="http://schemas.openxmlformats.org/drawingml/2006/main">
          <a:off x="3847338" y="398878"/>
          <a:ext cx="1216152" cy="1881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 Roger Bailey )</a:t>
          </a:r>
        </a:p>
        <a:p xmlns:a="http://schemas.openxmlformats.org/drawingml/2006/main">
          <a:pPr algn="l" rtl="0">
            <a:defRPr sz="1000"/>
          </a:pPr>
          <a:r>
            <a:rPr lang="fr-FR" sz="950" b="0" i="0" u="none" strike="noStrike" baseline="0">
              <a:solidFill>
                <a:srgbClr val="000000"/>
              </a:solidFill>
              <a:latin typeface="Arial"/>
              <a:cs typeface="Arial"/>
            </a:rPr>
            <a:t>suggested by Roger Bailey</a:t>
          </a:r>
        </a:p>
        <a:p xmlns:a="http://schemas.openxmlformats.org/drawingml/2006/main">
          <a:pPr algn="l" rtl="0">
            <a:defRPr sz="1000"/>
          </a:pPr>
          <a:r>
            <a:rPr lang="fr-FR" sz="950" b="0" i="0" u="none" strike="noStrike" baseline="0">
              <a:solidFill>
                <a:srgbClr val="000000"/>
              </a:solidFill>
              <a:latin typeface="Arial"/>
              <a:cs typeface="Arial"/>
            </a:rPr>
            <a:t>Roger Bailey</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19050</xdr:colOff>
      <xdr:row>1</xdr:row>
      <xdr:rowOff>19050</xdr:rowOff>
    </xdr:from>
    <xdr:to>
      <xdr:col>11</xdr:col>
      <xdr:colOff>9525</xdr:colOff>
      <xdr:row>20</xdr:row>
      <xdr:rowOff>161925</xdr:rowOff>
    </xdr:to>
    <xdr:graphicFrame macro="">
      <xdr:nvGraphicFramePr>
        <xdr:cNvPr id="2488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0.41482</cdr:x>
      <cdr:y>0.05575</cdr:y>
    </cdr:from>
    <cdr:to>
      <cdr:x>0.6295</cdr:x>
      <cdr:y>0.09727</cdr:y>
    </cdr:to>
    <cdr:sp macro="" textlink="">
      <cdr:nvSpPr>
        <cdr:cNvPr id="249857" name="Text Box 1"/>
        <cdr:cNvSpPr txBox="1">
          <a:spLocks xmlns:a="http://schemas.openxmlformats.org/drawingml/2006/main" noChangeArrowheads="1"/>
        </cdr:cNvSpPr>
      </cdr:nvSpPr>
      <cdr:spPr bwMode="auto">
        <a:xfrm xmlns:a="http://schemas.openxmlformats.org/drawingml/2006/main">
          <a:off x="2599066" y="233116"/>
          <a:ext cx="1343463" cy="1712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0" rIns="0" bIns="18288" anchor="b" upright="1"/>
        <a:lstStyle xmlns:a="http://schemas.openxmlformats.org/drawingml/2006/main"/>
        <a:p xmlns:a="http://schemas.openxmlformats.org/drawingml/2006/main">
          <a:pPr algn="l" rtl="0">
            <a:defRPr sz="1000"/>
          </a:pPr>
          <a:r>
            <a:rPr lang="fr-FR" sz="575" b="0" i="0" u="none" strike="noStrike" baseline="0">
              <a:solidFill>
                <a:srgbClr val="800000"/>
              </a:solidFill>
              <a:latin typeface="Arial"/>
              <a:cs typeface="Arial"/>
            </a:rPr>
            <a:t>( Helmut Sonderegger )</a:t>
          </a:r>
        </a:p>
      </cdr:txBody>
    </cdr:sp>
  </cdr:relSizeAnchor>
  <cdr:relSizeAnchor xmlns:cdr="http://schemas.openxmlformats.org/drawingml/2006/chartDrawing">
    <cdr:from>
      <cdr:x>0.03691</cdr:x>
      <cdr:y>0.03109</cdr:y>
    </cdr:from>
    <cdr:to>
      <cdr:x>0.16173</cdr:x>
      <cdr:y>0.07969</cdr:y>
    </cdr:to>
    <cdr:sp macro="" textlink="">
      <cdr:nvSpPr>
        <cdr:cNvPr id="249858" name="Text Box 2"/>
        <cdr:cNvSpPr txBox="1">
          <a:spLocks xmlns:a="http://schemas.openxmlformats.org/drawingml/2006/main" noChangeArrowheads="1"/>
        </cdr:cNvSpPr>
      </cdr:nvSpPr>
      <cdr:spPr bwMode="auto">
        <a:xfrm xmlns:a="http://schemas.openxmlformats.org/drawingml/2006/main">
          <a:off x="234140" y="131382"/>
          <a:ext cx="781119" cy="200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Error [deg]</a:t>
          </a:r>
        </a:p>
        <a:p xmlns:a="http://schemas.openxmlformats.org/drawingml/2006/main">
          <a:pPr algn="l" rtl="0">
            <a:defRPr sz="1000"/>
          </a:pPr>
          <a:endParaRPr lang="fr-FR" sz="825" b="0" i="0" u="none" strike="noStrike" baseline="0">
            <a:solidFill>
              <a:srgbClr val="000000"/>
            </a:solidFill>
            <a:latin typeface="Arial"/>
            <a:cs typeface="Arial"/>
          </a:endParaRPr>
        </a:p>
      </cdr:txBody>
    </cdr:sp>
  </cdr:relSizeAnchor>
  <cdr:relSizeAnchor xmlns:cdr="http://schemas.openxmlformats.org/drawingml/2006/chartDrawing">
    <cdr:from>
      <cdr:x>0.95741</cdr:x>
      <cdr:y>0.35615</cdr:y>
    </cdr:from>
    <cdr:to>
      <cdr:x>1</cdr:x>
      <cdr:y>0.58939</cdr:y>
    </cdr:to>
    <cdr:sp macro="" textlink="">
      <cdr:nvSpPr>
        <cdr:cNvPr id="249859" name="Text Box 3"/>
        <cdr:cNvSpPr txBox="1">
          <a:spLocks xmlns:a="http://schemas.openxmlformats.org/drawingml/2006/main" noChangeArrowheads="1"/>
        </cdr:cNvSpPr>
      </cdr:nvSpPr>
      <cdr:spPr bwMode="auto">
        <a:xfrm xmlns:a="http://schemas.openxmlformats.org/drawingml/2006/main">
          <a:off x="6076355" y="1472056"/>
          <a:ext cx="266536" cy="9619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vert="vert270" wrap="square" lIns="0" tIns="22860" rIns="27432" bIns="0" anchor="b" upright="1"/>
        <a:lstStyle xmlns:a="http://schemas.openxmlformats.org/drawingml/2006/main"/>
        <a:p xmlns:a="http://schemas.openxmlformats.org/drawingml/2006/main">
          <a:pPr algn="r" rtl="0">
            <a:defRPr sz="1000"/>
          </a:pPr>
          <a:r>
            <a:rPr lang="fr-FR" sz="825" b="0" i="0" u="none" strike="noStrike" baseline="0">
              <a:solidFill>
                <a:srgbClr val="000000"/>
              </a:solidFill>
              <a:latin typeface="Arial"/>
              <a:cs typeface="Arial"/>
            </a:rPr>
            <a:t>Declination</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syncVertical="1" syncRef="B4" transitionEvaluation="1" codeName="Tabelle1">
    <pageSetUpPr fitToPage="1"/>
  </sheetPr>
  <dimension ref="A1:AP112"/>
  <sheetViews>
    <sheetView tabSelected="1" topLeftCell="B4" zoomScale="80" zoomScaleNormal="80" workbookViewId="0">
      <selection activeCell="I7" sqref="I6:I7"/>
    </sheetView>
  </sheetViews>
  <sheetFormatPr baseColWidth="10" defaultColWidth="8.88671875" defaultRowHeight="15"/>
  <cols>
    <col min="1" max="1" width="11.44140625" customWidth="1"/>
    <col min="2" max="2" width="15" customWidth="1"/>
    <col min="3" max="3" width="13.77734375" customWidth="1"/>
    <col min="4" max="4" width="17.5546875" customWidth="1"/>
    <col min="5" max="5" width="15.109375" customWidth="1"/>
    <col min="6" max="6" width="12.109375" customWidth="1"/>
    <col min="7" max="7" width="13.77734375" customWidth="1"/>
    <col min="8" max="8" width="12" customWidth="1"/>
    <col min="9" max="10" width="15" customWidth="1"/>
    <col min="11" max="11" width="12.77734375" customWidth="1"/>
    <col min="12" max="12" width="13.5546875" customWidth="1"/>
    <col min="13" max="13" width="12" customWidth="1"/>
    <col min="14" max="14" width="11" customWidth="1"/>
    <col min="15" max="15" width="8.88671875" customWidth="1"/>
    <col min="16" max="16" width="10.5546875" customWidth="1"/>
    <col min="17" max="19" width="8.88671875" customWidth="1"/>
    <col min="20" max="20" width="10.109375" customWidth="1"/>
    <col min="21" max="21" width="10.77734375" customWidth="1"/>
    <col min="22" max="22" width="8.88671875" customWidth="1"/>
    <col min="23" max="28" width="10.88671875" customWidth="1"/>
  </cols>
  <sheetData>
    <row r="1" spans="1:40" ht="24" customHeight="1">
      <c r="E1" s="326"/>
      <c r="F1" s="327"/>
      <c r="G1" s="327"/>
      <c r="H1" s="328"/>
      <c r="I1" s="72"/>
      <c r="J1" s="202">
        <f>PI()/180</f>
        <v>1.7453292519943295E-2</v>
      </c>
      <c r="K1" s="203" t="s">
        <v>6</v>
      </c>
      <c r="L1" s="84"/>
      <c r="M1" s="179" t="str">
        <f>IF(($C$22&lt;=N1),IF($E$22&gt;=N1,N1,""),"")</f>
        <v/>
      </c>
      <c r="N1" s="179">
        <v>4</v>
      </c>
      <c r="O1" s="84"/>
      <c r="P1" s="86"/>
      <c r="Q1" s="86"/>
      <c r="R1" s="86"/>
      <c r="S1" s="86"/>
      <c r="T1" s="86"/>
      <c r="U1" s="86"/>
      <c r="V1" s="86"/>
      <c r="W1" s="86"/>
      <c r="X1" s="86"/>
      <c r="Y1" s="86"/>
      <c r="Z1" s="86"/>
      <c r="AJ1" s="226">
        <f>PI()/180</f>
        <v>1.7453292519943295E-2</v>
      </c>
      <c r="AK1" s="227" t="s">
        <v>6</v>
      </c>
      <c r="AL1" s="9"/>
      <c r="AM1" s="179" t="str">
        <f>IF(($C$22&lt;=AN1),IF($E$22&gt;=AN1,AN1,""),"")</f>
        <v/>
      </c>
      <c r="AN1" s="179">
        <v>4</v>
      </c>
    </row>
    <row r="2" spans="1:40" ht="16.899999999999999" customHeight="1">
      <c r="D2" s="1"/>
      <c r="E2" s="329"/>
      <c r="F2" s="330"/>
      <c r="G2" s="330"/>
      <c r="H2" s="331"/>
      <c r="I2" s="72"/>
      <c r="J2" s="204">
        <f>2*PI()/365.25</f>
        <v>1.7202423838958484E-2</v>
      </c>
      <c r="K2" s="204" t="s">
        <v>7</v>
      </c>
      <c r="L2" s="84"/>
      <c r="M2" s="179">
        <f t="shared" ref="M2:M19" si="0">IF(($C$22&lt;=N2),IF($E$22&gt;=N2,N2,""),"")</f>
        <v>5</v>
      </c>
      <c r="N2" s="179">
        <v>5</v>
      </c>
      <c r="O2" s="84"/>
      <c r="P2" s="86"/>
      <c r="Q2" s="86"/>
      <c r="R2" s="86"/>
      <c r="S2" s="86"/>
      <c r="T2" s="86"/>
      <c r="U2" s="86"/>
      <c r="V2" s="86"/>
      <c r="W2" s="86"/>
      <c r="X2" s="86"/>
      <c r="Y2" s="86"/>
      <c r="Z2" s="86"/>
      <c r="AJ2" s="228">
        <f>2*PI()/365.25</f>
        <v>1.7202423838958484E-2</v>
      </c>
      <c r="AK2" s="228" t="s">
        <v>7</v>
      </c>
      <c r="AL2" s="9"/>
      <c r="AM2" s="179">
        <f t="shared" ref="AM2:AM19" si="1">IF(($C$22&lt;=AN2),IF($E$22&gt;=AN2,AN2,""),"")</f>
        <v>5</v>
      </c>
      <c r="AN2" s="179">
        <v>5</v>
      </c>
    </row>
    <row r="3" spans="1:40" ht="18" customHeight="1">
      <c r="E3" s="329"/>
      <c r="F3" s="330"/>
      <c r="G3" s="330"/>
      <c r="H3" s="331"/>
      <c r="I3" s="72"/>
      <c r="J3" s="204">
        <f>IF($D$21=0,VALUE("0,00001"),$D$21)</f>
        <v>-23.44</v>
      </c>
      <c r="K3" s="205"/>
      <c r="L3" s="84"/>
      <c r="M3" s="179">
        <f t="shared" si="0"/>
        <v>6</v>
      </c>
      <c r="N3" s="179">
        <v>6</v>
      </c>
      <c r="O3" s="84"/>
      <c r="P3" s="86"/>
      <c r="Q3" s="86"/>
      <c r="R3" s="86"/>
      <c r="S3" s="86"/>
      <c r="T3" s="86"/>
      <c r="U3" s="86"/>
      <c r="V3" s="86"/>
      <c r="W3" s="86"/>
      <c r="X3" s="86"/>
      <c r="Y3" s="86"/>
      <c r="Z3" s="86"/>
      <c r="AJ3" s="228">
        <f>IF($D$21=0,VALUE("0,00001"),$D$21)</f>
        <v>-23.44</v>
      </c>
      <c r="AK3" s="229"/>
      <c r="AL3" s="9"/>
      <c r="AM3" s="179">
        <f t="shared" si="1"/>
        <v>6</v>
      </c>
      <c r="AN3" s="179">
        <v>6</v>
      </c>
    </row>
    <row r="4" spans="1:40" ht="19.5">
      <c r="B4" s="325" t="str">
        <f>IF($C$7,"Analemmatic Sundial, v. 2.2b","Analemmatische Sonnenuhr, v. 2.2b")</f>
        <v>Analemmatic Sundial, v. 2.2b</v>
      </c>
      <c r="C4" s="325"/>
      <c r="D4" s="325"/>
      <c r="E4" s="329"/>
      <c r="F4" s="330"/>
      <c r="G4" s="330"/>
      <c r="H4" s="331"/>
      <c r="I4" s="72"/>
      <c r="J4" s="204"/>
      <c r="K4" s="204"/>
      <c r="L4" s="84"/>
      <c r="M4" s="179">
        <f t="shared" si="0"/>
        <v>7</v>
      </c>
      <c r="N4" s="179">
        <v>7</v>
      </c>
      <c r="O4" s="84"/>
      <c r="P4" s="86"/>
      <c r="Q4" s="86"/>
      <c r="R4" s="86"/>
      <c r="S4" s="86"/>
      <c r="T4" s="86"/>
      <c r="U4" s="86"/>
      <c r="V4" s="86"/>
      <c r="W4" s="86"/>
      <c r="X4" s="86"/>
      <c r="Y4" s="86"/>
      <c r="Z4" s="86"/>
      <c r="AJ4" s="228"/>
      <c r="AK4" s="228"/>
      <c r="AL4" s="9"/>
      <c r="AM4" s="179">
        <f t="shared" si="1"/>
        <v>7</v>
      </c>
      <c r="AN4" s="179">
        <v>7</v>
      </c>
    </row>
    <row r="5" spans="1:40" ht="18.600000000000001" customHeight="1" thickBot="1">
      <c r="B5" s="335" t="s">
        <v>21</v>
      </c>
      <c r="C5" s="335"/>
      <c r="D5" s="336"/>
      <c r="E5" s="332" t="str">
        <f>IF($C$7&gt;0,"For Shortkeys look at tabsheet 'Help'","Steuerungsbefehle siehe Tabellenblatt 'Hilfe' ")</f>
        <v>For Shortkeys look at tabsheet 'Help'</v>
      </c>
      <c r="F5" s="333"/>
      <c r="G5" s="333"/>
      <c r="H5" s="334"/>
      <c r="I5" s="72"/>
      <c r="J5" s="212" t="str">
        <f>IF($C$7,"morning","Vormittag")</f>
        <v>morning</v>
      </c>
      <c r="K5" s="204"/>
      <c r="L5" s="84"/>
      <c r="M5" s="179">
        <f t="shared" si="0"/>
        <v>8</v>
      </c>
      <c r="N5" s="179">
        <v>8</v>
      </c>
      <c r="O5" s="84"/>
      <c r="P5" s="86"/>
      <c r="Q5" s="86"/>
      <c r="R5" s="86"/>
      <c r="S5" s="86"/>
      <c r="T5" s="86"/>
      <c r="U5" s="86"/>
      <c r="V5" s="86"/>
      <c r="W5" s="86"/>
      <c r="X5" s="86"/>
      <c r="Y5" s="86"/>
      <c r="Z5" s="86"/>
      <c r="AJ5" s="230" t="str">
        <f>IF($C$7,"morning","Vormittag")</f>
        <v>morning</v>
      </c>
      <c r="AK5" s="228"/>
      <c r="AL5" s="9"/>
      <c r="AM5" s="179">
        <f t="shared" si="1"/>
        <v>8</v>
      </c>
      <c r="AN5" s="179">
        <v>8</v>
      </c>
    </row>
    <row r="6" spans="1:40" ht="17.45" customHeight="1">
      <c r="B6" s="20"/>
      <c r="C6" s="20"/>
      <c r="D6" s="73"/>
      <c r="E6" s="73"/>
      <c r="F6" s="73"/>
      <c r="G6" s="73"/>
      <c r="H6" s="73"/>
      <c r="I6" s="73"/>
      <c r="J6" s="204" t="str">
        <f>IF($C$7,"afternoon","Nachmittag")</f>
        <v>afternoon</v>
      </c>
      <c r="K6" s="204"/>
      <c r="L6" s="84"/>
      <c r="M6" s="179">
        <f t="shared" si="0"/>
        <v>9</v>
      </c>
      <c r="N6" s="179">
        <v>9</v>
      </c>
      <c r="O6" s="84"/>
      <c r="P6" s="86"/>
      <c r="Q6" s="86"/>
      <c r="R6" s="86"/>
      <c r="S6" s="86"/>
      <c r="T6" s="86"/>
      <c r="U6" s="86"/>
      <c r="V6" s="86"/>
      <c r="W6" s="86"/>
      <c r="X6" s="86"/>
      <c r="Y6" s="86"/>
      <c r="Z6" s="86"/>
      <c r="AJ6" s="228" t="str">
        <f>IF($C$7,"afternoon","Nachmittag")</f>
        <v>afternoon</v>
      </c>
      <c r="AK6" s="228"/>
      <c r="AL6" s="9"/>
      <c r="AM6" s="179">
        <f t="shared" si="1"/>
        <v>9</v>
      </c>
      <c r="AN6" s="179">
        <v>9</v>
      </c>
    </row>
    <row r="7" spans="1:40" ht="18.600000000000001" customHeight="1" thickBot="1">
      <c r="B7" t="str">
        <f>IF($C$7,"Language (E=1)","Sprache (E=1)")</f>
        <v>Language (E=1)</v>
      </c>
      <c r="C7" s="43" t="b">
        <v>1</v>
      </c>
      <c r="D7" s="80" t="str">
        <f>IF(ABS(C8-C10)&gt;15,IF($C$7&gt;0,"Error in Chart1 ! Too much difference between zone meridian and longitude!","Fehler in Chart1 ! Zonenmeridian und Länge zu unterschiedlich!")," ")</f>
        <v xml:space="preserve"> </v>
      </c>
      <c r="E7" s="80"/>
      <c r="F7" s="80"/>
      <c r="G7" s="80"/>
      <c r="H7" s="80"/>
      <c r="I7" s="80"/>
      <c r="J7" s="206"/>
      <c r="K7" s="204"/>
      <c r="L7" s="84"/>
      <c r="M7" s="179">
        <f t="shared" si="0"/>
        <v>10</v>
      </c>
      <c r="N7" s="179">
        <v>10</v>
      </c>
      <c r="O7" s="84"/>
      <c r="P7" s="86"/>
      <c r="Q7" s="86"/>
      <c r="R7" s="86"/>
      <c r="S7" s="86"/>
      <c r="T7" s="86"/>
      <c r="U7" s="86"/>
      <c r="V7" s="86"/>
      <c r="W7" s="86"/>
      <c r="X7" s="86"/>
      <c r="Y7" s="86"/>
      <c r="Z7" s="86"/>
      <c r="AJ7" s="73"/>
      <c r="AK7" s="228"/>
      <c r="AL7" s="9"/>
      <c r="AM7" s="179">
        <f t="shared" si="1"/>
        <v>10</v>
      </c>
      <c r="AN7" s="179">
        <v>10</v>
      </c>
    </row>
    <row r="8" spans="1:40" ht="18" customHeight="1" thickBot="1">
      <c r="A8" s="337" t="str">
        <f>IF($C$7,"Input Cells","Eingabe-Felder")</f>
        <v>Input Cells</v>
      </c>
      <c r="B8" t="str">
        <f>IF($C$7,"Zone Meridian =","Zonenmeridian =")</f>
        <v>Zone Meridian =</v>
      </c>
      <c r="C8" s="19">
        <v>-82.5</v>
      </c>
      <c r="G8" t="str">
        <f>IF($C$7,"Solstice","Sonnenwende")</f>
        <v>Solstice</v>
      </c>
      <c r="H8" s="12" t="s">
        <v>4</v>
      </c>
      <c r="I8" s="16" t="str">
        <f>IF($C$7,IF($E$14=1,"Summer DST","Summer, no DST"),IF($E$14=1,"Sommer mit SZ","Sommer, ohne SZ"))</f>
        <v>Summer, no DST</v>
      </c>
      <c r="J8" s="207" t="s">
        <v>56</v>
      </c>
      <c r="K8" s="208" t="s">
        <v>25</v>
      </c>
      <c r="L8" s="84"/>
      <c r="M8" s="179">
        <f t="shared" si="0"/>
        <v>11</v>
      </c>
      <c r="N8" s="179">
        <v>11</v>
      </c>
      <c r="O8" s="84"/>
      <c r="P8" s="86"/>
      <c r="Q8" s="86"/>
      <c r="R8" s="86"/>
      <c r="S8" s="86"/>
      <c r="T8" s="86"/>
      <c r="U8" s="86"/>
      <c r="V8" s="86"/>
      <c r="W8" s="86"/>
      <c r="X8" s="86"/>
      <c r="Y8" s="86"/>
      <c r="Z8" s="86"/>
      <c r="AJ8" s="231" t="s">
        <v>56</v>
      </c>
      <c r="AK8" s="232" t="s">
        <v>25</v>
      </c>
      <c r="AL8" s="9"/>
      <c r="AM8" s="179">
        <f t="shared" si="1"/>
        <v>11</v>
      </c>
      <c r="AN8" s="179">
        <v>11</v>
      </c>
    </row>
    <row r="9" spans="1:40" ht="15.75" thickBot="1">
      <c r="A9" s="338"/>
      <c r="B9" s="1" t="str">
        <f>IF($C$7,"Latitude =","Geogr. Breite =")</f>
        <v>Latitude =</v>
      </c>
      <c r="C9" s="19">
        <v>27.88</v>
      </c>
      <c r="D9" s="1" t="str">
        <f>IF($C$7,"North","Nord")</f>
        <v>North</v>
      </c>
      <c r="E9" s="180"/>
      <c r="F9" s="1"/>
      <c r="G9" s="1" t="str">
        <f>IF($C$7,"Sunsets","Sonne unter")</f>
        <v>Sunsets</v>
      </c>
      <c r="H9" s="13">
        <f>ACOS(TAN(23.44*$J$1)*TAN($C$9*$J$1))/(2*PI())+$C$10/360+0.5+($E$14-$F$12)/24</f>
        <v>0.72547249996526542</v>
      </c>
      <c r="I9" s="13">
        <f>ACOS(TAN(-23.44*$J$1)*TAN($C$9*$J$1))/(2*PI())+($C$10)/360+0.5+($E$14-$F$12)/24</f>
        <v>0.79913861114584572</v>
      </c>
      <c r="J9" s="202">
        <f>($C$9-$D$19)*$J$1</f>
        <v>0.48659779545601906</v>
      </c>
      <c r="K9" s="202">
        <f>SIN($J$9)</f>
        <v>0.46762129335770369</v>
      </c>
      <c r="L9" s="84"/>
      <c r="M9" s="179">
        <f t="shared" si="0"/>
        <v>12</v>
      </c>
      <c r="N9" s="179">
        <v>12</v>
      </c>
      <c r="O9" s="84"/>
      <c r="P9" s="86"/>
      <c r="Q9" s="86"/>
      <c r="R9" s="86"/>
      <c r="S9" s="86"/>
      <c r="T9" s="86"/>
      <c r="U9" s="86"/>
      <c r="V9" s="86"/>
      <c r="W9" s="86"/>
      <c r="X9" s="86"/>
      <c r="Y9" s="86"/>
      <c r="Z9" s="86"/>
      <c r="AJ9" s="226">
        <f>($C$9-$D$19)*$J$1</f>
        <v>0.48659779545601906</v>
      </c>
      <c r="AK9" s="226">
        <f>SIN($J$9)</f>
        <v>0.46762129335770369</v>
      </c>
      <c r="AL9" s="9"/>
      <c r="AM9" s="179">
        <f t="shared" si="1"/>
        <v>12</v>
      </c>
      <c r="AN9" s="179">
        <v>12</v>
      </c>
    </row>
    <row r="10" spans="1:40" ht="15.75" thickBot="1">
      <c r="A10" s="338"/>
      <c r="B10" s="1" t="str">
        <f>IF($C$7,"Longitude =","Geogr. Länge =")</f>
        <v>Longitude =</v>
      </c>
      <c r="C10" s="14">
        <v>-78.069999999999993</v>
      </c>
      <c r="D10" s="1" t="str">
        <f>IF($C$7,IF($C$10&lt;0,"East","West"),IF($C$10&lt;0,"östl. Länge","westl. Länge"))</f>
        <v>East</v>
      </c>
      <c r="E10" s="1"/>
      <c r="F10" s="1"/>
      <c r="G10" s="1" t="str">
        <f>IF($C$7,"Sunrises","Sonne auf")</f>
        <v>Sunrises</v>
      </c>
      <c r="H10" s="13">
        <f>0.5-ACOS(TAN(23.44*$J$1)*TAN($C$9*$J$1))/(2*PI())+($C$10/360)+($E$14-$F$12)/24</f>
        <v>0.29913861114584572</v>
      </c>
      <c r="I10" s="13">
        <f>0.5-ACOS(TAN(-23.44*$J$1)*TAN($C$9*$J$1))/(2*PI())+($C$10)/360+($E$14-$F$12)/24</f>
        <v>0.22547249996526536</v>
      </c>
      <c r="J10" s="204" t="s">
        <v>1</v>
      </c>
      <c r="K10" s="204" t="s">
        <v>2</v>
      </c>
      <c r="L10" s="84"/>
      <c r="M10" s="179">
        <f t="shared" si="0"/>
        <v>13</v>
      </c>
      <c r="N10" s="179">
        <v>13</v>
      </c>
      <c r="O10" s="84"/>
      <c r="P10" s="86"/>
      <c r="Q10" s="86"/>
      <c r="R10" s="86"/>
      <c r="S10" s="86"/>
      <c r="T10" s="86"/>
      <c r="U10" s="86"/>
      <c r="V10" s="86"/>
      <c r="W10" s="86"/>
      <c r="X10" s="86"/>
      <c r="Y10" s="86"/>
      <c r="Z10" s="86"/>
      <c r="AJ10" s="228" t="s">
        <v>1</v>
      </c>
      <c r="AK10" s="228" t="s">
        <v>2</v>
      </c>
      <c r="AL10" s="9"/>
      <c r="AM10" s="179">
        <f t="shared" si="1"/>
        <v>13</v>
      </c>
      <c r="AN10" s="179">
        <v>13</v>
      </c>
    </row>
    <row r="11" spans="1:40" ht="18" customHeight="1" thickBot="1">
      <c r="A11" s="338"/>
      <c r="B11" s="47" t="str">
        <f>IF($C$7,"Longitude Correction (hh:mm:ss)","Längengrad-Korrektur (hh:mm:ss)")</f>
        <v>Longitude Correction (hh:mm:ss)</v>
      </c>
      <c r="C11" s="47"/>
      <c r="D11" s="77">
        <f>IF($C$10-$C$8&lt;0,($C$8-$C$10)/360,($C$10-$C$8)/360)</f>
        <v>1.2305555555555575E-2</v>
      </c>
      <c r="E11" s="78" t="str">
        <f>IF($C$7,IF(($C$10-$C$8)&lt;0,"correction is negative","correction is positive"),IF(($C$10-$C$8)&lt;0,"Korrektur ist negativ","Korrektur ist positiv"))</f>
        <v>correction is positive</v>
      </c>
      <c r="F11" s="2"/>
      <c r="G11" s="2"/>
      <c r="H11" s="2"/>
      <c r="I11" s="74"/>
      <c r="J11" s="209" t="s">
        <v>30</v>
      </c>
      <c r="K11" s="209" t="s">
        <v>31</v>
      </c>
      <c r="L11" s="84"/>
      <c r="M11" s="179">
        <f t="shared" si="0"/>
        <v>14</v>
      </c>
      <c r="N11" s="179">
        <v>14</v>
      </c>
      <c r="O11" s="84"/>
      <c r="P11" s="86"/>
      <c r="Q11" s="86"/>
      <c r="R11" s="86"/>
      <c r="S11" s="86"/>
      <c r="T11" s="86"/>
      <c r="U11" s="86"/>
      <c r="V11" s="86"/>
      <c r="W11" s="86"/>
      <c r="X11" s="86"/>
      <c r="Y11" s="86"/>
      <c r="Z11" s="86"/>
      <c r="AJ11" s="233" t="s">
        <v>30</v>
      </c>
      <c r="AK11" s="233" t="s">
        <v>31</v>
      </c>
      <c r="AL11" s="9"/>
      <c r="AM11" s="179">
        <f t="shared" si="1"/>
        <v>14</v>
      </c>
      <c r="AN11" s="179">
        <v>14</v>
      </c>
    </row>
    <row r="12" spans="1:40" ht="18.600000000000001" customHeight="1" thickBot="1">
      <c r="A12" s="338"/>
      <c r="B12" s="47" t="str">
        <f>IF($C$7,"Draw Chart 'EoT' for Year ","Tabelle 'EoT' für das Jahr ")</f>
        <v xml:space="preserve">Draw Chart 'EoT' for Year </v>
      </c>
      <c r="C12" s="47"/>
      <c r="D12" s="79">
        <v>2013</v>
      </c>
      <c r="E12" s="22">
        <f>D12</f>
        <v>2013</v>
      </c>
      <c r="F12" s="21">
        <f>$C$8/15</f>
        <v>-5.5</v>
      </c>
      <c r="G12" s="23" t="str">
        <f>IF($C$7,"= Time Zone","= Zeitzone")</f>
        <v>= Time Zone</v>
      </c>
      <c r="H12" s="5"/>
      <c r="I12" s="75"/>
      <c r="J12" s="204">
        <f>SIN($K$21)*SIN($J$9)</f>
        <v>-0.16529020489719329</v>
      </c>
      <c r="K12" s="204">
        <f>COS($K$21)*COS($J$9)</f>
        <v>0.82686756870723088</v>
      </c>
      <c r="L12" s="84"/>
      <c r="M12" s="179">
        <f t="shared" si="0"/>
        <v>15</v>
      </c>
      <c r="N12" s="179">
        <v>15</v>
      </c>
      <c r="O12" s="84"/>
      <c r="P12" s="86"/>
      <c r="Q12" s="86"/>
      <c r="R12" s="86"/>
      <c r="S12" s="86"/>
      <c r="T12" s="86"/>
      <c r="U12" s="86"/>
      <c r="V12" s="86"/>
      <c r="W12" s="86"/>
      <c r="X12" s="86"/>
      <c r="Y12" s="86"/>
      <c r="Z12" s="86"/>
      <c r="AJ12" s="228">
        <f>SIN($K$21)*SIN($J$9)</f>
        <v>-0.16529020489719329</v>
      </c>
      <c r="AK12" s="228">
        <f>COS($K$21)*COS($J$9)</f>
        <v>0.82686756870723088</v>
      </c>
      <c r="AL12" s="9"/>
      <c r="AM12" s="179">
        <f t="shared" si="1"/>
        <v>15</v>
      </c>
      <c r="AN12" s="179">
        <v>15</v>
      </c>
    </row>
    <row r="13" spans="1:40" ht="15.75" thickBot="1">
      <c r="A13" s="338"/>
      <c r="B13" t="str">
        <f>IF($C$7,"Show Standard Time (1=yes,0=no)","Stunden zeigen Zonenzeit? (1=ja, 0=nein)")</f>
        <v>Show Standard Time (1=yes,0=no)</v>
      </c>
      <c r="C13" s="15"/>
      <c r="E13" s="22">
        <v>1</v>
      </c>
      <c r="F13" t="str">
        <f>IF(E13=0,"shows local apparent time","shows local time with longitude correction")</f>
        <v>shows local time with longitude correction</v>
      </c>
      <c r="G13" s="3"/>
      <c r="H13" s="3"/>
      <c r="I13" s="75"/>
      <c r="J13" s="204" t="s">
        <v>8</v>
      </c>
      <c r="K13" s="204" t="str">
        <f>B17</f>
        <v>Gnomon Height =</v>
      </c>
      <c r="L13" s="84"/>
      <c r="M13" s="179">
        <f t="shared" si="0"/>
        <v>16</v>
      </c>
      <c r="N13" s="179">
        <v>16</v>
      </c>
      <c r="O13" s="84"/>
      <c r="P13" s="86"/>
      <c r="Q13" s="86"/>
      <c r="R13" s="86"/>
      <c r="S13" s="86"/>
      <c r="T13" s="86"/>
      <c r="U13" s="86"/>
      <c r="V13" s="86"/>
      <c r="W13" s="86"/>
      <c r="X13" s="86"/>
      <c r="Y13" s="86"/>
      <c r="Z13" s="86"/>
      <c r="AJ13" s="228" t="s">
        <v>8</v>
      </c>
      <c r="AK13" s="228">
        <f>AB17</f>
        <v>0</v>
      </c>
      <c r="AL13" s="9"/>
      <c r="AM13" s="179">
        <f t="shared" si="1"/>
        <v>16</v>
      </c>
      <c r="AN13" s="179">
        <v>16</v>
      </c>
    </row>
    <row r="14" spans="1:40" ht="15.75" thickBot="1">
      <c r="A14" s="338"/>
      <c r="B14" t="str">
        <f>IF($C$7,"Show DST (Column B, Rise, Set) : 1=yes, 0=no","Mit Sommerzeit (Spalte B, Auf-, Untergang) : 1=ja, 0=nein")</f>
        <v>Show DST (Column B, Rise, Set) : 1=yes, 0=no</v>
      </c>
      <c r="C14" s="15"/>
      <c r="E14" s="22">
        <v>0</v>
      </c>
      <c r="G14" s="3"/>
      <c r="H14" s="3"/>
      <c r="I14" s="75"/>
      <c r="J14" s="207">
        <f>$G$17</f>
        <v>-0.66800783693067423</v>
      </c>
      <c r="K14" s="210">
        <f>$C$17</f>
        <v>2</v>
      </c>
      <c r="L14" s="84"/>
      <c r="M14" s="179">
        <f t="shared" si="0"/>
        <v>17</v>
      </c>
      <c r="N14" s="179">
        <v>17</v>
      </c>
      <c r="O14" s="84"/>
      <c r="P14" s="87"/>
      <c r="Q14" s="86"/>
      <c r="R14" s="86"/>
      <c r="S14" s="86"/>
      <c r="T14" s="86"/>
      <c r="U14" s="86"/>
      <c r="V14" s="86"/>
      <c r="W14" s="86"/>
      <c r="X14" s="86"/>
      <c r="Y14" s="86"/>
      <c r="Z14" s="86"/>
      <c r="AJ14" s="231">
        <f>$G$17</f>
        <v>-0.66800783693067423</v>
      </c>
      <c r="AK14" s="234">
        <f>$C$17</f>
        <v>2</v>
      </c>
      <c r="AL14" s="9"/>
      <c r="AM14" s="179">
        <f t="shared" si="1"/>
        <v>17</v>
      </c>
      <c r="AN14" s="179">
        <v>17</v>
      </c>
    </row>
    <row r="15" spans="1:40" ht="15.75" thickBot="1">
      <c r="A15" s="338"/>
      <c r="B15" t="str">
        <f>IF($C$7,"E/W-SemiAxis =","O/W-Halbachse =")</f>
        <v>E/W-SemiAxis =</v>
      </c>
      <c r="C15" s="11">
        <v>2</v>
      </c>
      <c r="E15" s="300" t="str">
        <f>IF($C$7,"Focus c =","Brennpkunkt  c = ")</f>
        <v>Focus c =</v>
      </c>
      <c r="F15" s="300"/>
      <c r="G15" s="16">
        <f>SQRT(ABS(C15^2-C16^2))</f>
        <v>1.7678578291236753</v>
      </c>
      <c r="I15" s="72"/>
      <c r="J15" s="211" t="str">
        <f>IF($C$7,"Equation of Time [min] for","Zeitgleichung [min,min] für")</f>
        <v>Equation of Time [min] for</v>
      </c>
      <c r="K15" s="205"/>
      <c r="L15" s="84"/>
      <c r="M15" s="179">
        <f t="shared" si="0"/>
        <v>18</v>
      </c>
      <c r="N15" s="179">
        <v>18</v>
      </c>
      <c r="O15" s="84"/>
      <c r="P15" s="86"/>
      <c r="Q15" s="88"/>
      <c r="R15" s="86"/>
      <c r="S15" s="86"/>
      <c r="T15" s="86"/>
      <c r="U15" s="86"/>
      <c r="V15" s="86"/>
      <c r="W15" s="86"/>
      <c r="X15" s="86"/>
      <c r="Y15" s="86"/>
      <c r="Z15" s="86"/>
      <c r="AJ15" s="235" t="str">
        <f>IF($C$7,"Equation of Time [min] for","Zeitgleichung [min,min] für")</f>
        <v>Equation of Time [min] for</v>
      </c>
      <c r="AK15" s="229"/>
      <c r="AL15" s="9"/>
      <c r="AM15" s="179">
        <f t="shared" si="1"/>
        <v>18</v>
      </c>
      <c r="AN15" s="179">
        <v>18</v>
      </c>
    </row>
    <row r="16" spans="1:40" ht="15.75" thickBot="1">
      <c r="A16" s="338"/>
      <c r="B16" s="1" t="str">
        <f>IF($C$7,"N/S-SemiAxis =","N/S-Halbachse =")</f>
        <v>N/S-SemiAxis =</v>
      </c>
      <c r="C16" s="17">
        <f>$C$15*COS(($D$18-$C$9)*$J$1)/SIN($K$18)</f>
        <v>0.9352425867154075</v>
      </c>
      <c r="D16" s="193"/>
      <c r="E16" s="322" t="str">
        <f>IF($C$7,"String Length 2a+2c =","Strecke 2a+2c =")</f>
        <v>String Length 2a+2c =</v>
      </c>
      <c r="F16" s="322"/>
      <c r="G16" s="1">
        <f>IF(C15&gt;C16,(C15+G15)*2,(C16+G15)*2)</f>
        <v>7.5357156582473506</v>
      </c>
      <c r="H16" s="3"/>
      <c r="I16" s="215" t="s">
        <v>62</v>
      </c>
      <c r="J16" s="204" t="str">
        <f>IF($C$7,"South","Süd")</f>
        <v>South</v>
      </c>
      <c r="K16" s="205"/>
      <c r="L16" s="84"/>
      <c r="M16" s="179">
        <f t="shared" si="0"/>
        <v>19</v>
      </c>
      <c r="N16" s="179">
        <v>19</v>
      </c>
      <c r="O16" s="84"/>
      <c r="P16" s="86"/>
      <c r="Q16" s="86"/>
      <c r="R16" s="86"/>
      <c r="S16" s="86"/>
      <c r="T16" s="86"/>
      <c r="U16" s="86"/>
      <c r="V16" s="86"/>
      <c r="W16" s="86"/>
      <c r="X16" s="86"/>
      <c r="Y16" s="86"/>
      <c r="Z16" s="86"/>
      <c r="AJ16" s="228" t="str">
        <f>IF($C$7,"South","Süd")</f>
        <v>South</v>
      </c>
      <c r="AK16" s="229"/>
      <c r="AL16" s="9"/>
      <c r="AM16" s="179">
        <f t="shared" si="1"/>
        <v>19</v>
      </c>
      <c r="AN16" s="179">
        <v>19</v>
      </c>
    </row>
    <row r="17" spans="1:42" ht="15.75" thickBot="1">
      <c r="A17" s="338"/>
      <c r="B17" s="1" t="str">
        <f>IF($C$7,"Gnomon Height =","Gnomon Höhe =")</f>
        <v>Gnomon Height =</v>
      </c>
      <c r="C17" s="19">
        <v>2</v>
      </c>
      <c r="D17" s="44"/>
      <c r="E17" s="323" t="str">
        <f>IF($C$7,"Position Yo = ","Standpunkt Yo = ")</f>
        <v xml:space="preserve">Position Yo = </v>
      </c>
      <c r="F17" s="324"/>
      <c r="G17" s="48">
        <f>$C$15*TAN($G$20*$J$1)*SIN(($K$18-$J$9))/SIN($K$18)</f>
        <v>-0.66800783693067423</v>
      </c>
      <c r="H17" s="192"/>
      <c r="I17" s="215">
        <f>$D$109</f>
        <v>-0.76648615652492069</v>
      </c>
      <c r="J17" s="204" t="str">
        <f>IF($C$7,"East","Ost")</f>
        <v>East</v>
      </c>
      <c r="K17" s="204">
        <v>0</v>
      </c>
      <c r="L17" s="204">
        <f>$G$17+$C$17*COS(($D$18-$D$19)*$J$1)</f>
        <v>-0.66800783693067411</v>
      </c>
      <c r="M17" s="179">
        <f t="shared" si="0"/>
        <v>20</v>
      </c>
      <c r="N17" s="179">
        <v>20</v>
      </c>
      <c r="O17" s="84"/>
      <c r="P17" s="86"/>
      <c r="Q17" s="86"/>
      <c r="R17" s="86"/>
      <c r="S17" s="86"/>
      <c r="T17" s="86"/>
      <c r="U17" s="86"/>
      <c r="V17" s="86"/>
      <c r="W17" s="86"/>
      <c r="X17" s="86"/>
      <c r="Y17" s="86"/>
      <c r="Z17" s="86"/>
      <c r="AJ17" s="228" t="str">
        <f>IF($C$7,"East","Ost")</f>
        <v>East</v>
      </c>
      <c r="AK17" s="228">
        <v>0</v>
      </c>
      <c r="AL17" s="228">
        <f>$G$17+$C$17*COS(($D$18-$D$19)*$J$1)</f>
        <v>-0.66800783693067411</v>
      </c>
      <c r="AM17" s="179">
        <f t="shared" si="1"/>
        <v>20</v>
      </c>
      <c r="AN17" s="179">
        <v>20</v>
      </c>
    </row>
    <row r="18" spans="1:42" ht="15.75" thickBot="1">
      <c r="A18" s="338"/>
      <c r="B18" s="320" t="str">
        <f>IF($C$7,"Gnomon Inclination =","Gnomon Neigung =")</f>
        <v>Gnomon Inclination =</v>
      </c>
      <c r="C18" s="321"/>
      <c r="D18" s="19">
        <v>90</v>
      </c>
      <c r="E18" s="83"/>
      <c r="F18" s="83" t="str">
        <f>IF($C$7,"Minimal Height =","Minimale Höhe =")</f>
        <v>Minimal Height =</v>
      </c>
      <c r="G18" s="49">
        <f>COS(($C$9-23.44)*$J$1)/SIN($K$18)/COS(23.44*$J$1)*$C$15</f>
        <v>2.1733488612081153</v>
      </c>
      <c r="H18" s="3"/>
      <c r="I18" s="163" t="s">
        <v>28</v>
      </c>
      <c r="J18" s="204">
        <f>COS($J$9)*SIN(G20*$J$1)</f>
        <v>-0.3124425544298684</v>
      </c>
      <c r="K18" s="204">
        <f>($D$18-$D$19)*$J$1</f>
        <v>1.5707963267948966</v>
      </c>
      <c r="L18" s="163" t="s">
        <v>26</v>
      </c>
      <c r="M18" s="179" t="str">
        <f t="shared" si="0"/>
        <v/>
      </c>
      <c r="N18" s="179">
        <v>21</v>
      </c>
      <c r="O18" s="84"/>
      <c r="P18" s="86"/>
      <c r="Q18" s="86"/>
      <c r="R18" s="86"/>
      <c r="S18" s="86"/>
      <c r="T18" s="86"/>
      <c r="U18" s="86"/>
      <c r="V18" s="86"/>
      <c r="W18" s="86"/>
      <c r="X18" s="86"/>
      <c r="Y18" s="86"/>
      <c r="Z18" s="86"/>
      <c r="AJ18" s="228">
        <f>COS($J$9)*SIN(AG20*$J$1)</f>
        <v>0</v>
      </c>
      <c r="AK18" s="228">
        <f>($D$18-$D$19)*$J$1</f>
        <v>1.5707963267948966</v>
      </c>
      <c r="AL18" s="9" t="s">
        <v>26</v>
      </c>
      <c r="AM18" s="179" t="str">
        <f t="shared" si="1"/>
        <v/>
      </c>
      <c r="AN18" s="179">
        <v>21</v>
      </c>
    </row>
    <row r="19" spans="1:42" ht="15.75" thickBot="1">
      <c r="A19" s="338"/>
      <c r="B19" s="1" t="str">
        <f>IF($C$7,"Dial Plane - Inclination =","Neigung der Uhrebene =")</f>
        <v>Dial Plane - Inclination =</v>
      </c>
      <c r="C19" s="3"/>
      <c r="D19" s="85">
        <v>0</v>
      </c>
      <c r="E19" s="189"/>
      <c r="F19" s="83"/>
      <c r="G19" s="89"/>
      <c r="H19" s="17" t="str">
        <f>IF($C$7,"Rise","Aufgang")</f>
        <v>Rise</v>
      </c>
      <c r="I19" s="17" t="str">
        <f>IF($C$7,"Set","Untergang")</f>
        <v>Set</v>
      </c>
      <c r="J19" s="223" t="str">
        <f>IF($C$7,"North-Azimuth","Nord-Azimut")</f>
        <v>North-Azimuth</v>
      </c>
      <c r="K19" s="204">
        <f>SIN($J$9)*COS($G$20*$J$1)</f>
        <v>0.43743436326673679</v>
      </c>
      <c r="L19" s="163" t="s">
        <v>29</v>
      </c>
      <c r="M19" s="179" t="str">
        <f t="shared" si="0"/>
        <v/>
      </c>
      <c r="N19" s="179">
        <v>22</v>
      </c>
      <c r="O19" s="84"/>
      <c r="P19" s="86"/>
      <c r="Q19" s="86"/>
      <c r="R19" s="86"/>
      <c r="S19" s="86"/>
      <c r="T19" s="86"/>
      <c r="U19" s="86"/>
      <c r="V19" s="86"/>
      <c r="W19" s="86"/>
      <c r="X19" s="86"/>
      <c r="Y19" s="86"/>
      <c r="Z19" s="86"/>
      <c r="AJ19" s="236"/>
      <c r="AK19" s="228">
        <f>SIN($J$9)*COS($G$20*$J$1)</f>
        <v>0.43743436326673679</v>
      </c>
      <c r="AL19" s="9" t="s">
        <v>29</v>
      </c>
      <c r="AM19" s="179" t="str">
        <f t="shared" si="1"/>
        <v/>
      </c>
      <c r="AN19" s="179">
        <v>22</v>
      </c>
    </row>
    <row r="20" spans="1:42" ht="15.75" thickBot="1">
      <c r="A20" s="338"/>
      <c r="B20" s="276" t="str">
        <f>IF($C$7,"Shadow Path for Date (dd-mm-yy)","Schattenweg für Datum (dd-mm-jj)")</f>
        <v>Shadow Path for Date (dd-mm-yy)</v>
      </c>
      <c r="C20" s="277"/>
      <c r="D20" s="271">
        <v>41656</v>
      </c>
      <c r="E20" s="343" t="str">
        <f>IF($C$7,"Sun Declination dek0:","Sonne Deklination dek0:")</f>
        <v>Sun Declination dek0:</v>
      </c>
      <c r="F20" s="344"/>
      <c r="G20" s="49">
        <f>ASIN(SIN(K79*$J$1)*SIN(P79*$J$1))/$J$1</f>
        <v>-20.69971724746242</v>
      </c>
      <c r="H20" s="90">
        <f>0.5-ACOS(TAN(-$G$20*$J$1)*TAN($C$9*$J$1))/(2*PI())+($C$10)/360+($E$14-$F$12)/24</f>
        <v>0.2943362982603242</v>
      </c>
      <c r="I20" s="90">
        <f>ACOS(TAN(-$G$20*$J$1)*TAN($C$9*$J$1))/(2*PI())+($C$10)/360+0.5+($E$14-$F$12)/24</f>
        <v>0.73027481285078688</v>
      </c>
      <c r="J20" s="224">
        <f>ACOS(SIN($G$20*$J$1)/COS($C$9*$J$1))/$J$1</f>
        <v>113.57101163385001</v>
      </c>
      <c r="K20" s="204" t="str">
        <f>IF($C$7,"Solar Declination","SonnenDek z20 =")</f>
        <v>Solar Declination</v>
      </c>
      <c r="L20" s="163" t="s">
        <v>27</v>
      </c>
      <c r="M20" s="9"/>
      <c r="N20" s="9"/>
      <c r="O20" s="84"/>
      <c r="P20" s="86"/>
      <c r="Q20" s="86"/>
      <c r="R20" s="86"/>
      <c r="S20" s="86"/>
      <c r="T20" s="86"/>
      <c r="U20" s="86"/>
      <c r="V20" s="86"/>
      <c r="W20" s="86"/>
      <c r="X20" s="86"/>
      <c r="Y20" s="86"/>
      <c r="Z20" s="86"/>
      <c r="AJ20" s="228"/>
      <c r="AK20" s="228" t="str">
        <f>IF($C$7,"Solar Declination","SonnenDek z20 =")</f>
        <v>Solar Declination</v>
      </c>
      <c r="AL20" s="9" t="s">
        <v>27</v>
      </c>
      <c r="AM20" s="9"/>
      <c r="AN20" s="9"/>
    </row>
    <row r="21" spans="1:42" ht="15.75" thickBot="1">
      <c r="A21" s="338"/>
      <c r="B21" s="347" t="str">
        <f>IF($C$7,"Rise/Set Marks for Declination","Auf-/Untergang für Deklination")</f>
        <v>Rise/Set Marks for Declination</v>
      </c>
      <c r="C21" s="348"/>
      <c r="D21" s="50">
        <v>-23.44</v>
      </c>
      <c r="E21" s="345" t="str">
        <f>IF($C$7,"SeasonMarker on E/W-axis:","Auf-/Untergangspunkt:")</f>
        <v>SeasonMarker on E/W-axis:</v>
      </c>
      <c r="F21" s="346"/>
      <c r="G21" s="51">
        <f>$D$108</f>
        <v>1.5209995578564786</v>
      </c>
      <c r="H21" s="124">
        <f>0.5-ACOS(TAN(-$J$3*$J$1)*TAN($C$9*$J$1))/(2*PI())+($C$10)/360+($E$14-$F$12)/24</f>
        <v>0.29913861114584572</v>
      </c>
      <c r="I21" s="124">
        <f>ACOS(TAN(-$J$3*$J$1)*TAN($C$9*$J$1))/(2*PI())+($C$10)/360+0.5+($E$14-$F$12)/24</f>
        <v>0.72547249996526542</v>
      </c>
      <c r="J21" s="225">
        <f>ACOS(SIN($D$21*$J$1)/COS($C$9*$J$1))/$J$1</f>
        <v>116.74517162729727</v>
      </c>
      <c r="K21" s="204">
        <f>$J$1*$G$20</f>
        <v>-0.36127822020007705</v>
      </c>
      <c r="L21" s="213">
        <f>$C$15*TAN($D$21*$J$1)*SIN(($K$18-$J$9))/SIN($K$18)</f>
        <v>-0.76648615652492069</v>
      </c>
      <c r="M21" s="40"/>
      <c r="N21" s="40"/>
      <c r="O21" s="91"/>
      <c r="P21" s="86"/>
      <c r="Q21" s="86"/>
      <c r="R21" s="88"/>
      <c r="S21" s="86"/>
      <c r="T21" s="86"/>
      <c r="U21" s="86"/>
      <c r="V21" s="86"/>
      <c r="W21" s="86"/>
      <c r="X21" s="86"/>
      <c r="Y21" s="86"/>
      <c r="Z21" s="86"/>
      <c r="AJ21" s="40"/>
      <c r="AK21" s="228">
        <f>$J$1*$G$20</f>
        <v>-0.36127822020007705</v>
      </c>
      <c r="AL21" s="40">
        <f>$C$15*TAN($D$21*$J$1)*SIN(($K$18-$J$9))/SIN($K$18)</f>
        <v>-0.76648615652492069</v>
      </c>
      <c r="AM21" s="40"/>
      <c r="AN21" s="40"/>
    </row>
    <row r="22" spans="1:42" s="127" customFormat="1" ht="19.149999999999999" customHeight="1" thickTop="1" thickBot="1">
      <c r="A22" s="338"/>
      <c r="B22" s="131" t="str">
        <f>IF($C$7,"Begin Time =","Startzeit =")</f>
        <v>Begin Time =</v>
      </c>
      <c r="C22" s="79">
        <v>5</v>
      </c>
      <c r="D22" s="131" t="str">
        <f>IF($C$7,"End Time =","Endzeit =")</f>
        <v>End Time =</v>
      </c>
      <c r="E22" s="79">
        <v>20</v>
      </c>
      <c r="F22" s="349" t="str">
        <f>IF(($C$22+29*$A$26)&lt;$E$22,IF($C$7,"Cannot display so many lines!","Zu viele Stundenmarkierungen"),"")</f>
        <v/>
      </c>
      <c r="G22" s="350"/>
      <c r="H22" s="350"/>
      <c r="I22" s="318"/>
      <c r="J22" s="318"/>
      <c r="K22" s="318"/>
      <c r="L22" s="318"/>
      <c r="M22" s="158"/>
      <c r="N22" s="158"/>
      <c r="O22" s="128"/>
      <c r="P22" s="128"/>
      <c r="Q22" s="128"/>
      <c r="R22" s="128"/>
      <c r="S22" s="126"/>
      <c r="T22" s="126"/>
      <c r="U22" s="126"/>
      <c r="V22" s="126"/>
      <c r="W22" s="126"/>
      <c r="X22" s="126"/>
      <c r="Y22" s="126"/>
      <c r="Z22" s="126"/>
      <c r="AJ22" s="291" t="str">
        <f>IF($C$7,"Standing on the point of the 8-slope shows for times","Der Standpunkt auf der 8er-Schleife ergibt für die Zeiten")</f>
        <v>Standing on the point of the 8-slope shows for times</v>
      </c>
      <c r="AK22" s="291"/>
      <c r="AL22" s="291"/>
      <c r="AM22" s="291"/>
      <c r="AN22" s="291"/>
      <c r="AO22" s="291"/>
      <c r="AP22" s="291"/>
    </row>
    <row r="23" spans="1:42" s="125" customFormat="1" ht="18" customHeight="1" thickBot="1">
      <c r="A23" s="339"/>
      <c r="B23" s="130"/>
      <c r="C23" s="298" t="str">
        <f>IF($C$7,"Marks per Hour =","Markierungen pro Std. =")</f>
        <v>Marks per Hour =</v>
      </c>
      <c r="D23" s="299"/>
      <c r="E23" s="79">
        <v>1</v>
      </c>
      <c r="F23" s="351"/>
      <c r="G23" s="352"/>
      <c r="H23" s="352"/>
      <c r="I23" s="319"/>
      <c r="J23" s="319"/>
      <c r="K23" s="319"/>
      <c r="L23" s="319"/>
      <c r="M23" s="159"/>
      <c r="N23" s="159"/>
      <c r="O23" s="129"/>
      <c r="P23" s="129"/>
      <c r="Q23" s="129"/>
      <c r="R23" s="129"/>
      <c r="S23" s="248"/>
      <c r="T23" s="249" t="str">
        <f>IF($C$7,"Calculation for ","Berechnung für ")</f>
        <v xml:space="preserve">Calculation for </v>
      </c>
      <c r="U23" s="250">
        <f>$D$12</f>
        <v>2013</v>
      </c>
      <c r="AJ23" s="292" t="str">
        <f>IF($C$7,"near noon approximated mean time!","nahe Mittag einen Näherungswert für die mittlere Zeit!")</f>
        <v>near noon approximated mean time!</v>
      </c>
      <c r="AK23" s="292"/>
      <c r="AL23" s="292"/>
      <c r="AM23" s="292"/>
      <c r="AN23" s="292"/>
      <c r="AO23" s="292"/>
      <c r="AP23" s="292"/>
    </row>
    <row r="24" spans="1:42">
      <c r="A24" s="341" t="str">
        <f>IF($C$7,IF(E13=0,"True Local Time","Time of Zone Meridian"),IF(E13=0,"wahre Ortszeit","Zonenzeit"))</f>
        <v>Time of Zone Meridian</v>
      </c>
      <c r="B24" s="341" t="str">
        <f>IF($C$7,"True Local Time","wahre Ortszeit")</f>
        <v>True Local Time</v>
      </c>
      <c r="C24" s="342" t="str">
        <f>IF($C$7,"Time Angle","Stundenwinkel")</f>
        <v>Time Angle</v>
      </c>
      <c r="D24" s="342" t="str">
        <f>C24</f>
        <v>Time Angle</v>
      </c>
      <c r="E24" s="356" t="str">
        <f>IF($C$7,"Co-ordinates of Hour Points","Stundenmarkierung")</f>
        <v>Co-ordinates of Hour Points</v>
      </c>
      <c r="F24" s="357"/>
      <c r="G24" s="354" t="str">
        <f>IF($C$7,"Distance from Center Point","Abstand zu O (=Zentrum)")</f>
        <v>Distance from Center Point</v>
      </c>
      <c r="H24" s="354" t="str">
        <f>IF($C$7,"Distance from Noon Markt","Abstand vom Mittagspunkt")</f>
        <v>Distance from Noon Markt</v>
      </c>
      <c r="I24" s="296"/>
      <c r="J24" s="297"/>
      <c r="O24" s="168"/>
      <c r="P24" s="168"/>
      <c r="Q24" s="168"/>
      <c r="R24" s="169">
        <v>36526</v>
      </c>
      <c r="S24" s="245" t="str">
        <f>$B$62</f>
        <v>Date</v>
      </c>
      <c r="T24" s="246" t="str">
        <f>$D$62</f>
        <v>Declination</v>
      </c>
      <c r="U24" s="247" t="str">
        <f>$E$62</f>
        <v xml:space="preserve"> EQT [min.]</v>
      </c>
      <c r="V24" s="71"/>
    </row>
    <row r="25" spans="1:42">
      <c r="A25" s="341"/>
      <c r="B25" s="341"/>
      <c r="C25" s="341"/>
      <c r="D25" s="341"/>
      <c r="E25" s="358"/>
      <c r="F25" s="359"/>
      <c r="G25" s="354"/>
      <c r="H25" s="354"/>
      <c r="I25" s="296"/>
      <c r="J25" s="297"/>
      <c r="K25" s="295" t="str">
        <f>IF($C$7,"Shadow Positions for Declination ","Schatten  bei  Sonnendeklination ")</f>
        <v xml:space="preserve">Shadow Positions for Declination </v>
      </c>
      <c r="L25" s="295"/>
      <c r="M25" s="295"/>
      <c r="N25" s="288">
        <f>$G$20</f>
        <v>-20.69971724746242</v>
      </c>
      <c r="O25" s="168"/>
      <c r="P25" s="168"/>
      <c r="Q25" s="170"/>
      <c r="R25" s="170">
        <f>DATEVALUE(S25-$R$24)</f>
        <v>4749</v>
      </c>
      <c r="S25" s="251">
        <f>DATE(E12,1,1)</f>
        <v>41275</v>
      </c>
      <c r="T25" s="198">
        <v>-23.005773582321407</v>
      </c>
      <c r="U25" s="199">
        <v>-3.4289869774418986</v>
      </c>
      <c r="W25" s="92"/>
      <c r="X25" s="92"/>
      <c r="Y25" s="92"/>
      <c r="Z25" s="92"/>
      <c r="AA25" s="92"/>
      <c r="AB25" s="92"/>
    </row>
    <row r="26" spans="1:42" s="279" customFormat="1" ht="18" customHeight="1">
      <c r="A26" s="278">
        <f>1/$E$23</f>
        <v>1</v>
      </c>
      <c r="C26" s="280" t="str">
        <f>IF($C$7,"deg","Grad")</f>
        <v>deg</v>
      </c>
      <c r="D26" s="280" t="str">
        <f>IF($C$7,"rad","rad")</f>
        <v>rad</v>
      </c>
      <c r="E26" s="281" t="s">
        <v>19</v>
      </c>
      <c r="F26" s="281" t="s">
        <v>20</v>
      </c>
      <c r="G26" s="282" t="str">
        <f>IF($C$7,"(Distance OP)","(Abstand OP)")</f>
        <v>(Distance OP)</v>
      </c>
      <c r="H26" s="283" t="str">
        <f>IF($C$7,"(on y-axis)","(auf y-Achse)")</f>
        <v>(on y-axis)</v>
      </c>
      <c r="I26" s="284"/>
      <c r="J26" s="279" t="str">
        <f>IF($C$7,"Sun Altitude","Sonnenhöhe")</f>
        <v>Sun Altitude</v>
      </c>
      <c r="K26" s="279" t="str">
        <f>IF($C$7,"'Shadow Length'","'Schattenlänge'")</f>
        <v>'Shadow Length'</v>
      </c>
      <c r="L26" s="285" t="str">
        <f>IF($C$7,"Azimuth","Azimut")</f>
        <v>Azimuth</v>
      </c>
      <c r="M26" s="279" t="s">
        <v>3</v>
      </c>
      <c r="N26" s="279" t="s">
        <v>5</v>
      </c>
      <c r="O26" s="286" t="s">
        <v>33</v>
      </c>
      <c r="P26" s="286" t="s">
        <v>34</v>
      </c>
      <c r="Q26" s="182" t="s">
        <v>32</v>
      </c>
      <c r="R26" s="170">
        <f t="shared" ref="R26:R61" si="2">DATEVALUE(S26-$R$24)</f>
        <v>4759</v>
      </c>
      <c r="S26" s="251">
        <f>S25+10</f>
        <v>41285</v>
      </c>
      <c r="T26" s="198">
        <v>-21.812820983298522</v>
      </c>
      <c r="U26" s="199">
        <v>-7.8102587161777173</v>
      </c>
      <c r="W26" s="287"/>
      <c r="X26" s="287"/>
      <c r="Y26" s="287"/>
      <c r="Z26" s="287"/>
      <c r="AA26" s="287"/>
      <c r="AB26" s="287"/>
    </row>
    <row r="27" spans="1:42">
      <c r="C27" s="1"/>
      <c r="D27" s="1"/>
      <c r="E27" s="103"/>
      <c r="F27" s="103"/>
      <c r="G27" s="172"/>
      <c r="H27" s="173"/>
      <c r="I27" s="214"/>
      <c r="O27" s="72"/>
      <c r="P27" s="72"/>
      <c r="Q27" s="182"/>
      <c r="R27" s="170">
        <f t="shared" si="2"/>
        <v>4769</v>
      </c>
      <c r="S27" s="251">
        <f>S26+10</f>
        <v>41295</v>
      </c>
      <c r="T27" s="198">
        <v>-19.915228694018154</v>
      </c>
      <c r="U27" s="199">
        <v>-11.232453393627591</v>
      </c>
      <c r="W27" s="93"/>
      <c r="X27" s="93"/>
      <c r="Y27" s="93"/>
      <c r="Z27" s="93"/>
      <c r="AA27" s="93"/>
      <c r="AB27" s="93"/>
    </row>
    <row r="28" spans="1:42">
      <c r="A28" s="132">
        <f>$C$22</f>
        <v>5</v>
      </c>
      <c r="B28" s="18">
        <f>A28/24+$E$13*(($C$10/360)-($F$12)/24+$E$14/24)</f>
        <v>0.22063888888888891</v>
      </c>
      <c r="C28" s="3">
        <f>($A28-12)*15+$E$13*($C$8-$C$10)</f>
        <v>-109.43</v>
      </c>
      <c r="D28" s="3">
        <f>C28*$J$1</f>
        <v>-1.909913800457395</v>
      </c>
      <c r="E28" s="53">
        <f>SIN($D28)*$C$15</f>
        <v>-1.8860972189973431</v>
      </c>
      <c r="F28" s="53">
        <f>COS($D28)*$C$16</f>
        <v>-0.3111130820550298</v>
      </c>
      <c r="G28" s="174">
        <f>SQRT($F28*$F28+$E28*$E28)</f>
        <v>1.9115841779360099</v>
      </c>
      <c r="H28" s="175">
        <f>SQRT($E28*$E28+($C$16-F28)^2)</f>
        <v>2.2607001509677738</v>
      </c>
      <c r="I28" s="3"/>
      <c r="J28">
        <f>ASIN($J$12+($K$12*COS($D28)))</f>
        <v>-0.45599047150006328</v>
      </c>
      <c r="K28" s="6">
        <f>$C$17*SIN(($D$18-$D$19)*$J$1)/TAN($J28)</f>
        <v>-4.0777637909015647</v>
      </c>
      <c r="L28">
        <f>IF($O28&gt;0,$P28,PI()-$P28)</f>
        <v>-1.3837835030867502</v>
      </c>
      <c r="M28">
        <f t="shared" ref="M28:M34" si="3">IF($J28&gt;0,IF($K28&lt;15,$K28*SIN($L28),$M29),$M29)</f>
        <v>-8.8083526985457254</v>
      </c>
      <c r="N28">
        <f t="shared" ref="N28:N34" si="4">IF($J28&gt;0,IF(K28&lt;15,$K28*COS($L28)+$L$17,$N29),$N29)</f>
        <v>4.5642781065955988</v>
      </c>
      <c r="O28" s="163">
        <f>COS(D28)*$K$19-$J$18</f>
        <v>0.16692784532038427</v>
      </c>
      <c r="P28" s="170">
        <f t="shared" ref="P28:P36" si="5">ASIN(COS($K$21)*SIN($D28)/COS($J28))</f>
        <v>-1.3837835030867502</v>
      </c>
      <c r="Q28" s="170">
        <f>IF($E28=0,90,ATAN($F28/$E28)/$J$1)</f>
        <v>9.3666360110970004</v>
      </c>
      <c r="R28" s="170">
        <f t="shared" si="2"/>
        <v>4780</v>
      </c>
      <c r="S28" s="251">
        <f>S27+11</f>
        <v>41306</v>
      </c>
      <c r="T28" s="198">
        <v>-17.117957759780666</v>
      </c>
      <c r="U28" s="199">
        <v>-13.548549563478849</v>
      </c>
      <c r="AL28" s="2"/>
    </row>
    <row r="29" spans="1:42">
      <c r="A29" s="132">
        <f t="shared" ref="A29:A34" si="6">IF($A28+$A$26&gt;$E$22,$A28,$A28+$A$26)</f>
        <v>6</v>
      </c>
      <c r="B29" s="18">
        <f>A29/24+$E$13*(($C$10/360)-($F$12)/24+$E$14/24)</f>
        <v>0.26230555555555557</v>
      </c>
      <c r="C29" s="3">
        <f t="shared" ref="C29:C58" si="7">($A29-12)*15+$E$13*($C$8-$C$10)</f>
        <v>-94.43</v>
      </c>
      <c r="D29" s="3">
        <f t="shared" ref="D29:D58" si="8">C29*$J$1</f>
        <v>-1.6481144126582454</v>
      </c>
      <c r="E29" s="53">
        <f t="shared" ref="E29:E40" si="9">SIN($D29)*$C$15</f>
        <v>-1.99402489113146</v>
      </c>
      <c r="F29" s="53">
        <f t="shared" ref="F29:F41" si="10">COS($D29)*$C$16</f>
        <v>-7.2239141087858741E-2</v>
      </c>
      <c r="G29" s="174">
        <f t="shared" ref="G29:G58" si="11">SQRT($F29*$F29+$E29*$E29)</f>
        <v>1.9953329947547458</v>
      </c>
      <c r="H29" s="175">
        <f t="shared" ref="H29:H58" si="12">SQRT($E29*$E29+($C$16-F29)^2)</f>
        <v>2.2340892323963439</v>
      </c>
      <c r="I29" s="3"/>
      <c r="J29">
        <f t="shared" ref="J29:J39" si="13">ASIN($J$12+($K$12*COS($D29)))</f>
        <v>-0.23121292852218928</v>
      </c>
      <c r="K29" s="6">
        <f t="shared" ref="K29:K58" si="14">$C$17*SIN(($D$18-$D$19)*$J$1)/TAN($J29)</f>
        <v>-8.4953412076699468</v>
      </c>
      <c r="L29">
        <f t="shared" ref="L29:L58" si="15">IF($O29&gt;0,$P29,PI()-$P29)</f>
        <v>-1.2804619643958286</v>
      </c>
      <c r="M29">
        <f t="shared" si="3"/>
        <v>-8.8083526985457254</v>
      </c>
      <c r="N29">
        <f t="shared" si="4"/>
        <v>4.5642781065955988</v>
      </c>
      <c r="O29" s="163">
        <f t="shared" ref="O29:O58" si="16">COS(D29)*$K$19-$J$18</f>
        <v>0.27865465476237899</v>
      </c>
      <c r="P29" s="170">
        <f t="shared" si="5"/>
        <v>-1.2804619643958286</v>
      </c>
      <c r="Q29" s="170">
        <f t="shared" ref="Q29:Q58" si="17">IF($E29=0,90,ATAN($F29/$E29)/$J$1)</f>
        <v>2.0747928449832265</v>
      </c>
      <c r="R29" s="170">
        <f t="shared" si="2"/>
        <v>4790</v>
      </c>
      <c r="S29" s="251">
        <f>S28+10</f>
        <v>41316</v>
      </c>
      <c r="T29" s="198">
        <v>-14.044293129837797</v>
      </c>
      <c r="U29" s="199">
        <v>-14.233751957218884</v>
      </c>
      <c r="AL29" s="2"/>
    </row>
    <row r="30" spans="1:42">
      <c r="A30" s="132">
        <f t="shared" si="6"/>
        <v>7</v>
      </c>
      <c r="B30" s="18">
        <f>A30/24+$E$13*(($C$10/360)-($F$12)/24+$E$14/24)</f>
        <v>0.30397222222222225</v>
      </c>
      <c r="C30" s="3">
        <f t="shared" si="7"/>
        <v>-79.430000000000007</v>
      </c>
      <c r="D30" s="3">
        <f t="shared" si="8"/>
        <v>-1.3863150248590961</v>
      </c>
      <c r="E30" s="53">
        <f t="shared" si="9"/>
        <v>-1.9660630622169069</v>
      </c>
      <c r="F30" s="53">
        <f t="shared" si="10"/>
        <v>0.17155777796362451</v>
      </c>
      <c r="G30" s="174">
        <f t="shared" si="11"/>
        <v>1.9735338952735362</v>
      </c>
      <c r="H30" s="175">
        <f t="shared" si="12"/>
        <v>2.1091748272089652</v>
      </c>
      <c r="I30" s="3"/>
      <c r="J30">
        <f>ASIN($J$12+($K$12*COS($D30)))</f>
        <v>-1.3612798869511611E-2</v>
      </c>
      <c r="K30" s="6">
        <f t="shared" si="14"/>
        <v>-146.91148225886459</v>
      </c>
      <c r="L30">
        <f t="shared" si="15"/>
        <v>-1.1672084954294806</v>
      </c>
      <c r="M30">
        <f t="shared" si="3"/>
        <v>-8.8083526985457254</v>
      </c>
      <c r="N30">
        <f t="shared" si="4"/>
        <v>4.5642781065955988</v>
      </c>
      <c r="O30" s="163">
        <f t="shared" si="16"/>
        <v>0.39268405372956872</v>
      </c>
      <c r="P30" s="170">
        <f t="shared" si="5"/>
        <v>-1.1672084954294806</v>
      </c>
      <c r="Q30" s="170">
        <f t="shared" si="17"/>
        <v>-4.9869722157399048</v>
      </c>
      <c r="R30" s="170">
        <f t="shared" si="2"/>
        <v>4800</v>
      </c>
      <c r="S30" s="251">
        <f>S29+10</f>
        <v>41326</v>
      </c>
      <c r="T30" s="198">
        <v>-10.583007475517189</v>
      </c>
      <c r="U30" s="199">
        <v>-13.647109608257185</v>
      </c>
      <c r="AM30" s="2"/>
    </row>
    <row r="31" spans="1:42">
      <c r="A31" s="132">
        <f t="shared" si="6"/>
        <v>8</v>
      </c>
      <c r="B31" s="18">
        <f t="shared" ref="B31:B58" si="18">A31/24+$E$13*(($C$10/360)-($F$12)/24+$E$14/24)</f>
        <v>0.34563888888888888</v>
      </c>
      <c r="C31" s="3">
        <f t="shared" si="7"/>
        <v>-64.430000000000007</v>
      </c>
      <c r="D31" s="3">
        <f t="shared" si="8"/>
        <v>-1.1245156370599467</v>
      </c>
      <c r="E31" s="53">
        <f t="shared" si="9"/>
        <v>-1.8041172846851032</v>
      </c>
      <c r="F31" s="53">
        <f t="shared" si="10"/>
        <v>0.40366331795951982</v>
      </c>
      <c r="G31" s="174">
        <f t="shared" si="11"/>
        <v>1.8487247634966213</v>
      </c>
      <c r="H31" s="175">
        <f t="shared" si="12"/>
        <v>1.8808018757621956</v>
      </c>
      <c r="I31" s="3"/>
      <c r="J31">
        <f t="shared" si="13"/>
        <v>0.19278902696523778</v>
      </c>
      <c r="K31" s="6">
        <f t="shared" si="14"/>
        <v>10.245188795566452</v>
      </c>
      <c r="L31">
        <f t="shared" si="15"/>
        <v>-1.0347898287130548</v>
      </c>
      <c r="M31">
        <f t="shared" si="3"/>
        <v>-8.8083526985457254</v>
      </c>
      <c r="N31">
        <f t="shared" si="4"/>
        <v>4.5642781065955988</v>
      </c>
      <c r="O31" s="163">
        <f t="shared" si="16"/>
        <v>0.50124512712483127</v>
      </c>
      <c r="P31" s="170">
        <f t="shared" si="5"/>
        <v>-1.0347898287130548</v>
      </c>
      <c r="Q31" s="170">
        <f t="shared" si="17"/>
        <v>-12.611956915760503</v>
      </c>
      <c r="R31" s="170">
        <f t="shared" si="2"/>
        <v>4808</v>
      </c>
      <c r="S31" s="251">
        <f>IF(MOD(YEAR(S30),4)=0,S30+9,S30+8)</f>
        <v>41334</v>
      </c>
      <c r="T31" s="198">
        <v>-7.6121405656675369</v>
      </c>
      <c r="U31" s="199">
        <v>-12.39917110056019</v>
      </c>
      <c r="AM31" s="2"/>
    </row>
    <row r="32" spans="1:42">
      <c r="A32" s="132">
        <f t="shared" si="6"/>
        <v>9</v>
      </c>
      <c r="B32" s="18">
        <f t="shared" si="18"/>
        <v>0.38730555555555557</v>
      </c>
      <c r="C32" s="3">
        <f t="shared" si="7"/>
        <v>-49.430000000000007</v>
      </c>
      <c r="D32" s="3">
        <f t="shared" si="8"/>
        <v>-0.86271624926079726</v>
      </c>
      <c r="E32" s="53">
        <f t="shared" si="9"/>
        <v>-1.5192238956467903</v>
      </c>
      <c r="F32" s="53">
        <f t="shared" si="10"/>
        <v>0.60825986992164771</v>
      </c>
      <c r="G32" s="174">
        <f t="shared" si="11"/>
        <v>1.6364661055033525</v>
      </c>
      <c r="H32" s="175">
        <f t="shared" si="12"/>
        <v>1.5540138166007527</v>
      </c>
      <c r="I32" s="3"/>
      <c r="J32">
        <f t="shared" si="13"/>
        <v>0.3816853771667903</v>
      </c>
      <c r="K32" s="6">
        <f t="shared" si="14"/>
        <v>4.9829547322419927</v>
      </c>
      <c r="L32">
        <f t="shared" si="15"/>
        <v>-0.87209033411625902</v>
      </c>
      <c r="M32">
        <f t="shared" si="3"/>
        <v>-3.8153247072712735</v>
      </c>
      <c r="N32">
        <f t="shared" si="4"/>
        <v>2.5371653630162871</v>
      </c>
      <c r="O32" s="163">
        <f t="shared" si="16"/>
        <v>0.59693961720193589</v>
      </c>
      <c r="P32" s="170">
        <f t="shared" si="5"/>
        <v>-0.87209033411625902</v>
      </c>
      <c r="Q32" s="170">
        <f t="shared" si="17"/>
        <v>-21.819949023341831</v>
      </c>
      <c r="R32" s="170">
        <f t="shared" si="2"/>
        <v>4818</v>
      </c>
      <c r="S32" s="251">
        <f>S31+10</f>
        <v>41344</v>
      </c>
      <c r="T32" s="198">
        <v>-3.7402901160639046</v>
      </c>
      <c r="U32" s="199">
        <v>-10.101980182850079</v>
      </c>
      <c r="AM32" s="2"/>
    </row>
    <row r="33" spans="1:39">
      <c r="A33" s="132">
        <f t="shared" si="6"/>
        <v>10</v>
      </c>
      <c r="B33" s="18">
        <f t="shared" si="18"/>
        <v>0.42897222222222225</v>
      </c>
      <c r="C33" s="3">
        <f t="shared" si="7"/>
        <v>-34.430000000000007</v>
      </c>
      <c r="D33" s="3">
        <f t="shared" si="8"/>
        <v>-0.6009168614616478</v>
      </c>
      <c r="E33" s="53">
        <f t="shared" si="9"/>
        <v>-1.1307979087563431</v>
      </c>
      <c r="F33" s="53">
        <f t="shared" si="10"/>
        <v>0.77140451694557766</v>
      </c>
      <c r="G33" s="174">
        <f t="shared" si="11"/>
        <v>1.3688567635847655</v>
      </c>
      <c r="H33" s="175">
        <f t="shared" si="12"/>
        <v>1.1426052789802883</v>
      </c>
      <c r="I33" s="3"/>
      <c r="J33">
        <f t="shared" si="13"/>
        <v>0.54302089909914664</v>
      </c>
      <c r="K33" s="6">
        <f t="shared" si="14"/>
        <v>3.3137631256750826</v>
      </c>
      <c r="L33">
        <f t="shared" si="15"/>
        <v>-0.66589666511354817</v>
      </c>
      <c r="M33">
        <f t="shared" si="3"/>
        <v>-2.0471251720758019</v>
      </c>
      <c r="N33">
        <f t="shared" si="4"/>
        <v>1.9378134506747344</v>
      </c>
      <c r="O33" s="163">
        <f t="shared" si="16"/>
        <v>0.67324610260475004</v>
      </c>
      <c r="P33" s="170">
        <f t="shared" si="5"/>
        <v>-0.66589666511354817</v>
      </c>
      <c r="Q33" s="170">
        <f t="shared" si="17"/>
        <v>-34.300915746267371</v>
      </c>
      <c r="R33" s="170">
        <f t="shared" si="2"/>
        <v>4828</v>
      </c>
      <c r="S33" s="251">
        <f>S32+10</f>
        <v>41354</v>
      </c>
      <c r="T33" s="198">
        <v>0.20718685062565725</v>
      </c>
      <c r="U33" s="199">
        <v>-7.2841583300115493</v>
      </c>
      <c r="AM33" s="2"/>
    </row>
    <row r="34" spans="1:39">
      <c r="A34" s="132">
        <f t="shared" si="6"/>
        <v>11</v>
      </c>
      <c r="B34" s="18">
        <f t="shared" si="18"/>
        <v>0.47063888888888888</v>
      </c>
      <c r="C34" s="3">
        <f t="shared" si="7"/>
        <v>-19.430000000000007</v>
      </c>
      <c r="D34" s="3">
        <f t="shared" si="8"/>
        <v>-0.33911747366249834</v>
      </c>
      <c r="E34" s="53">
        <f t="shared" si="9"/>
        <v>-0.66530991311605203</v>
      </c>
      <c r="F34" s="53">
        <f t="shared" si="10"/>
        <v>0.88197922094590575</v>
      </c>
      <c r="G34" s="174">
        <f t="shared" si="11"/>
        <v>1.1047735635282172</v>
      </c>
      <c r="H34" s="175">
        <f t="shared" si="12"/>
        <v>0.66743858640595877</v>
      </c>
      <c r="I34" s="3"/>
      <c r="J34">
        <f t="shared" si="13"/>
        <v>0.66173441821506507</v>
      </c>
      <c r="K34" s="6">
        <f t="shared" si="14"/>
        <v>2.5677639739827067</v>
      </c>
      <c r="L34">
        <f t="shared" si="15"/>
        <v>-0.4054529187533481</v>
      </c>
      <c r="M34">
        <f t="shared" si="3"/>
        <v>-1.0128159796239056</v>
      </c>
      <c r="N34">
        <f t="shared" si="4"/>
        <v>1.6915717055942079</v>
      </c>
      <c r="O34" s="163">
        <f t="shared" si="16"/>
        <v>0.7249644224555013</v>
      </c>
      <c r="P34" s="170">
        <f t="shared" si="5"/>
        <v>-0.4054529187533481</v>
      </c>
      <c r="Q34" s="170">
        <f t="shared" si="17"/>
        <v>-52.97138375805342</v>
      </c>
      <c r="R34" s="170">
        <f t="shared" si="2"/>
        <v>4839</v>
      </c>
      <c r="S34" s="251">
        <f>S33+11</f>
        <v>41365</v>
      </c>
      <c r="T34" s="198">
        <v>4.514295297867065</v>
      </c>
      <c r="U34" s="199">
        <v>-3.979769393993112</v>
      </c>
      <c r="AM34" s="2"/>
    </row>
    <row r="35" spans="1:39">
      <c r="A35" s="132">
        <f>IF($A34+$A$26&gt;$E$22,$A34,$A34+$A$26)</f>
        <v>12</v>
      </c>
      <c r="B35" s="18">
        <f t="shared" si="18"/>
        <v>0.51230555555555557</v>
      </c>
      <c r="C35" s="3">
        <f t="shared" si="7"/>
        <v>-4.4300000000000068</v>
      </c>
      <c r="D35" s="3">
        <f t="shared" si="8"/>
        <v>-7.7318085863348915E-2</v>
      </c>
      <c r="E35" s="53">
        <f t="shared" si="9"/>
        <v>-0.15448214637351854</v>
      </c>
      <c r="F35" s="53">
        <f t="shared" si="10"/>
        <v>0.93244849857834777</v>
      </c>
      <c r="G35" s="174">
        <f t="shared" si="11"/>
        <v>0.94515868299941264</v>
      </c>
      <c r="H35" s="175">
        <f t="shared" si="12"/>
        <v>0.15450741236810248</v>
      </c>
      <c r="I35" s="3"/>
      <c r="J35">
        <f t="shared" si="13"/>
        <v>0.71963078879850517</v>
      </c>
      <c r="K35" s="6">
        <f t="shared" si="14"/>
        <v>2.2820242262269099</v>
      </c>
      <c r="L35">
        <f t="shared" si="15"/>
        <v>-9.6225710769169609E-2</v>
      </c>
      <c r="M35" s="191">
        <f>$K35*SIN($L35)</f>
        <v>-0.21925068279039675</v>
      </c>
      <c r="N35" s="191">
        <f>$K35*COS($L35)+$L$17</f>
        <v>1.6034594657577161</v>
      </c>
      <c r="O35" s="163">
        <f t="shared" si="16"/>
        <v>0.74857005872492555</v>
      </c>
      <c r="P35" s="170">
        <f t="shared" si="5"/>
        <v>-9.6225710769169609E-2</v>
      </c>
      <c r="Q35" s="170">
        <f t="shared" si="17"/>
        <v>-80.59304462320182</v>
      </c>
      <c r="R35" s="170">
        <f t="shared" si="2"/>
        <v>4849</v>
      </c>
      <c r="S35" s="251">
        <f>S34+10</f>
        <v>41375</v>
      </c>
      <c r="T35" s="198">
        <v>8.2906551297568942</v>
      </c>
      <c r="U35" s="199">
        <v>-1.1433607809824879</v>
      </c>
      <c r="AM35" s="2"/>
    </row>
    <row r="36" spans="1:39">
      <c r="A36" s="132">
        <f>IF($A35+$A$26&gt;$E$22,$A35,$A35+$A$26)</f>
        <v>13</v>
      </c>
      <c r="B36" s="18">
        <f t="shared" si="18"/>
        <v>0.5539722222222222</v>
      </c>
      <c r="C36" s="3">
        <f t="shared" si="7"/>
        <v>10.569999999999993</v>
      </c>
      <c r="D36" s="3">
        <f t="shared" si="8"/>
        <v>0.18448130193580051</v>
      </c>
      <c r="E36" s="53">
        <f t="shared" si="9"/>
        <v>0.36687332335055267</v>
      </c>
      <c r="F36" s="53">
        <f t="shared" si="10"/>
        <v>0.91937295197667757</v>
      </c>
      <c r="G36" s="174">
        <f t="shared" si="11"/>
        <v>0.98987002187791784</v>
      </c>
      <c r="H36" s="175">
        <f t="shared" si="12"/>
        <v>0.36721639491316271</v>
      </c>
      <c r="I36" s="3"/>
      <c r="J36">
        <f t="shared" si="13"/>
        <v>0.7043605534385865</v>
      </c>
      <c r="K36" s="6">
        <f t="shared" si="14"/>
        <v>2.3535778781686019</v>
      </c>
      <c r="L36">
        <f t="shared" si="15"/>
        <v>0.22713058560473642</v>
      </c>
      <c r="M36">
        <f t="shared" ref="M36:M57" si="19">IF($J36&gt;0,IF($K36&lt;15,$K36*SIN($L36),$M35),$M35)</f>
        <v>0.52998510709840874</v>
      </c>
      <c r="N36">
        <f>IF($J36&gt;0,IF(K36&lt;15,$K36*COS($L36)+$L$17,$N35),$N35)</f>
        <v>1.6251220361594887</v>
      </c>
      <c r="O36" s="163">
        <f t="shared" si="16"/>
        <v>0.74245432631142005</v>
      </c>
      <c r="P36" s="170">
        <f t="shared" si="5"/>
        <v>0.22713058560473642</v>
      </c>
      <c r="Q36" s="170">
        <f t="shared" si="17"/>
        <v>68.245661027381473</v>
      </c>
      <c r="R36" s="170">
        <f t="shared" si="2"/>
        <v>4859</v>
      </c>
      <c r="S36" s="251">
        <f>S35+10</f>
        <v>41385</v>
      </c>
      <c r="T36" s="198">
        <v>11.835718791832644</v>
      </c>
      <c r="U36" s="199">
        <v>1.2232149123572587</v>
      </c>
      <c r="AM36" s="2"/>
    </row>
    <row r="37" spans="1:39">
      <c r="A37" s="132">
        <f>IF($A36+$A$26&gt;$E$22,$A36,$A36+$A$26)</f>
        <v>14</v>
      </c>
      <c r="B37" s="18">
        <f t="shared" si="18"/>
        <v>0.59563888888888894</v>
      </c>
      <c r="C37" s="3">
        <f t="shared" si="7"/>
        <v>25.569999999999993</v>
      </c>
      <c r="D37" s="3">
        <f t="shared" si="8"/>
        <v>0.44628068973494994</v>
      </c>
      <c r="E37" s="53">
        <f t="shared" si="9"/>
        <v>0.86322698237511686</v>
      </c>
      <c r="F37" s="53">
        <f t="shared" si="10"/>
        <v>0.84364365803343655</v>
      </c>
      <c r="G37" s="174">
        <f t="shared" si="11"/>
        <v>1.2070192396314519</v>
      </c>
      <c r="H37" s="175">
        <f t="shared" si="12"/>
        <v>0.86807326121482109</v>
      </c>
      <c r="I37" s="3"/>
      <c r="J37">
        <f t="shared" si="13"/>
        <v>0.61945662248515676</v>
      </c>
      <c r="K37" s="6">
        <f t="shared" si="14"/>
        <v>2.8046989687879766</v>
      </c>
      <c r="L37">
        <f t="shared" si="15"/>
        <v>0.51885988301865804</v>
      </c>
      <c r="M37">
        <f t="shared" si="19"/>
        <v>1.3908232927704576</v>
      </c>
      <c r="N37">
        <f t="shared" ref="N37:N58" si="20">IF($J37&gt;0,IF(K37&lt;15,$K37*COS($L37)+$L$17,$N36),$N36)</f>
        <v>1.7675510052670427</v>
      </c>
      <c r="O37" s="163">
        <f t="shared" si="16"/>
        <v>0.70703400227223945</v>
      </c>
      <c r="P37" s="170">
        <f>ASIN(COS($K$21)*SIN($D37)/COS($J37))</f>
        <v>0.51885988301865804</v>
      </c>
      <c r="Q37" s="170">
        <f t="shared" si="17"/>
        <v>44.34266102094243</v>
      </c>
      <c r="R37" s="170">
        <f t="shared" si="2"/>
        <v>4869</v>
      </c>
      <c r="S37" s="251">
        <f>S36+10</f>
        <v>41395</v>
      </c>
      <c r="T37" s="198">
        <v>15.05638156710406</v>
      </c>
      <c r="U37" s="199">
        <v>2.8700696508811085</v>
      </c>
      <c r="AM37" s="2"/>
    </row>
    <row r="38" spans="1:39">
      <c r="A38" s="132">
        <f>IF($A37+$A$26&gt;$E$22,$A37,$A37+$A$26)</f>
        <v>15</v>
      </c>
      <c r="B38" s="18">
        <f t="shared" si="18"/>
        <v>0.63730555555555557</v>
      </c>
      <c r="C38" s="3">
        <f t="shared" si="7"/>
        <v>40.569999999999993</v>
      </c>
      <c r="D38" s="3">
        <f t="shared" si="8"/>
        <v>0.70808007753409941</v>
      </c>
      <c r="E38" s="53">
        <f t="shared" si="9"/>
        <v>1.3007531491008548</v>
      </c>
      <c r="F38" s="53">
        <f t="shared" si="10"/>
        <v>0.71042144298228127</v>
      </c>
      <c r="G38" s="174">
        <f t="shared" si="11"/>
        <v>1.4821124726365462</v>
      </c>
      <c r="H38" s="175">
        <f t="shared" si="12"/>
        <v>1.3200391288008329</v>
      </c>
      <c r="I38" s="3"/>
      <c r="J38">
        <f t="shared" si="13"/>
        <v>0.4811605649721023</v>
      </c>
      <c r="K38" s="6">
        <f t="shared" si="14"/>
        <v>3.8307802170430336</v>
      </c>
      <c r="L38">
        <f t="shared" si="15"/>
        <v>0.75641380718836715</v>
      </c>
      <c r="M38">
        <f t="shared" si="19"/>
        <v>2.6291319573296206</v>
      </c>
      <c r="N38">
        <f t="shared" si="20"/>
        <v>2.1181260834393409</v>
      </c>
      <c r="O38" s="163">
        <f t="shared" si="16"/>
        <v>0.64472292315580093</v>
      </c>
      <c r="P38" s="170">
        <f t="shared" ref="P38:P58" si="21">ASIN(COS($K$21)*SIN($D38)/COS($J38))</f>
        <v>0.75641380718836715</v>
      </c>
      <c r="Q38" s="170">
        <f t="shared" si="17"/>
        <v>28.641673166722434</v>
      </c>
      <c r="R38" s="170">
        <f t="shared" si="2"/>
        <v>4879</v>
      </c>
      <c r="S38" s="251">
        <f>S37+10</f>
        <v>41405</v>
      </c>
      <c r="T38" s="198">
        <v>17.862726700758522</v>
      </c>
      <c r="U38" s="199">
        <v>3.6272728222115367</v>
      </c>
      <c r="AM38" s="2"/>
    </row>
    <row r="39" spans="1:39">
      <c r="A39" s="132">
        <f t="shared" ref="A39:A58" si="22">IF($A38+$A$26&gt;$E$22,$A38,$A38+$A$26)</f>
        <v>16</v>
      </c>
      <c r="B39" s="18">
        <f t="shared" si="18"/>
        <v>0.6789722222222222</v>
      </c>
      <c r="C39" s="3">
        <f t="shared" si="7"/>
        <v>55.569999999999993</v>
      </c>
      <c r="D39" s="3">
        <f t="shared" si="8"/>
        <v>0.96987946533324876</v>
      </c>
      <c r="E39" s="53">
        <f t="shared" si="9"/>
        <v>1.6496351383115846</v>
      </c>
      <c r="F39" s="53">
        <f t="shared" si="10"/>
        <v>0.52878518061882795</v>
      </c>
      <c r="G39" s="174">
        <f t="shared" si="11"/>
        <v>1.7323134406897522</v>
      </c>
      <c r="H39" s="175">
        <f t="shared" si="12"/>
        <v>1.6989713689532973</v>
      </c>
      <c r="I39" s="3"/>
      <c r="J39">
        <f t="shared" si="13"/>
        <v>0.30702054736983436</v>
      </c>
      <c r="K39" s="6">
        <f t="shared" si="14"/>
        <v>6.3082437313795801</v>
      </c>
      <c r="L39">
        <f t="shared" si="15"/>
        <v>0.94316733881995118</v>
      </c>
      <c r="M39">
        <f t="shared" si="19"/>
        <v>5.1060319203269229</v>
      </c>
      <c r="N39">
        <f t="shared" si="20"/>
        <v>3.0363648499209503</v>
      </c>
      <c r="O39" s="163">
        <f t="shared" si="16"/>
        <v>0.55976748602996262</v>
      </c>
      <c r="P39" s="170">
        <f t="shared" si="21"/>
        <v>0.94316733881995118</v>
      </c>
      <c r="Q39" s="170">
        <f t="shared" si="17"/>
        <v>17.773083668339829</v>
      </c>
      <c r="R39" s="170">
        <f t="shared" si="2"/>
        <v>4889</v>
      </c>
      <c r="S39" s="251">
        <f>S38+10</f>
        <v>41415</v>
      </c>
      <c r="T39" s="198">
        <v>20.170334027008334</v>
      </c>
      <c r="U39" s="199">
        <v>3.4351968808023741</v>
      </c>
      <c r="AM39" s="2"/>
    </row>
    <row r="40" spans="1:39">
      <c r="A40" s="132">
        <f t="shared" si="22"/>
        <v>17</v>
      </c>
      <c r="B40" s="18">
        <f t="shared" si="18"/>
        <v>0.72063888888888894</v>
      </c>
      <c r="C40" s="3">
        <f t="shared" si="7"/>
        <v>70.569999999999993</v>
      </c>
      <c r="D40" s="3">
        <f t="shared" si="8"/>
        <v>1.2316788531323983</v>
      </c>
      <c r="E40" s="53">
        <f t="shared" si="9"/>
        <v>1.8860972189973431</v>
      </c>
      <c r="F40" s="53">
        <f t="shared" si="10"/>
        <v>0.31111308205502969</v>
      </c>
      <c r="G40" s="174">
        <f t="shared" si="11"/>
        <v>1.9115841779360099</v>
      </c>
      <c r="H40" s="175">
        <f t="shared" si="12"/>
        <v>1.9866807388448502</v>
      </c>
      <c r="I40" s="3"/>
      <c r="J40">
        <f t="shared" ref="J40:J58" si="23">ASIN($J$12+($K$12*COS($D40)))</f>
        <v>0.10999304739496576</v>
      </c>
      <c r="K40" s="6">
        <f t="shared" si="14"/>
        <v>18.109579534539261</v>
      </c>
      <c r="L40">
        <f t="shared" si="15"/>
        <v>1.0919657484866816</v>
      </c>
      <c r="M40">
        <f t="shared" si="19"/>
        <v>5.1060319203269229</v>
      </c>
      <c r="N40">
        <f t="shared" si="20"/>
        <v>3.0363648499209503</v>
      </c>
      <c r="O40" s="163">
        <f t="shared" si="16"/>
        <v>0.45795726353935251</v>
      </c>
      <c r="P40" s="170">
        <f t="shared" si="21"/>
        <v>1.0919657484866816</v>
      </c>
      <c r="Q40" s="170">
        <f t="shared" si="17"/>
        <v>9.3666360110969968</v>
      </c>
      <c r="R40" s="170">
        <f t="shared" si="2"/>
        <v>4900</v>
      </c>
      <c r="S40" s="251">
        <f>S39+11</f>
        <v>41426</v>
      </c>
      <c r="T40" s="198">
        <v>22.043721288410179</v>
      </c>
      <c r="U40" s="199">
        <v>2.2161906296617095</v>
      </c>
      <c r="AM40" s="2"/>
    </row>
    <row r="41" spans="1:39">
      <c r="A41" s="132">
        <f t="shared" si="22"/>
        <v>18</v>
      </c>
      <c r="B41" s="18">
        <f t="shared" si="18"/>
        <v>0.76230555555555557</v>
      </c>
      <c r="C41" s="3">
        <f t="shared" si="7"/>
        <v>85.57</v>
      </c>
      <c r="D41" s="3">
        <f t="shared" si="8"/>
        <v>1.4934782409315477</v>
      </c>
      <c r="E41" s="53">
        <f>IF(A41&gt;0,SIN($D41)*$C$15,F40)</f>
        <v>1.99402489113146</v>
      </c>
      <c r="F41" s="53">
        <f t="shared" si="10"/>
        <v>7.2239141087858852E-2</v>
      </c>
      <c r="G41" s="174">
        <f t="shared" si="11"/>
        <v>1.9953329947547458</v>
      </c>
      <c r="H41" s="175">
        <f t="shared" si="12"/>
        <v>2.1727655680300284</v>
      </c>
      <c r="I41" s="3"/>
      <c r="J41">
        <f t="shared" si="23"/>
        <v>-0.10159675492786012</v>
      </c>
      <c r="K41" s="6">
        <f t="shared" si="14"/>
        <v>-19.617890300702221</v>
      </c>
      <c r="L41">
        <f t="shared" si="15"/>
        <v>1.2153326959987683</v>
      </c>
      <c r="M41">
        <f t="shared" si="19"/>
        <v>5.1060319203269229</v>
      </c>
      <c r="N41">
        <f t="shared" si="20"/>
        <v>3.0363648499209503</v>
      </c>
      <c r="O41" s="163">
        <f t="shared" si="16"/>
        <v>0.34623045409735786</v>
      </c>
      <c r="P41" s="170">
        <f t="shared" si="21"/>
        <v>1.2153326959987683</v>
      </c>
      <c r="Q41" s="170">
        <f t="shared" si="17"/>
        <v>2.07479284498323</v>
      </c>
      <c r="R41" s="170">
        <f t="shared" si="2"/>
        <v>4910</v>
      </c>
      <c r="S41" s="251">
        <f>S40+10</f>
        <v>41436</v>
      </c>
      <c r="T41" s="198">
        <v>23.078330473825844</v>
      </c>
      <c r="U41" s="199">
        <v>0.41772003944053299</v>
      </c>
      <c r="AM41" s="2"/>
    </row>
    <row r="42" spans="1:39">
      <c r="A42" s="132">
        <f t="shared" si="22"/>
        <v>19</v>
      </c>
      <c r="B42" s="18">
        <f t="shared" si="18"/>
        <v>0.8039722222222222</v>
      </c>
      <c r="C42" s="3">
        <f t="shared" si="7"/>
        <v>100.57</v>
      </c>
      <c r="D42" s="3">
        <f t="shared" si="8"/>
        <v>1.755277628730697</v>
      </c>
      <c r="E42" s="53">
        <f>IF(A42&gt;0,SIN($D42)*$C$15,F41)</f>
        <v>1.9660630622169069</v>
      </c>
      <c r="F42" s="53">
        <f>IF($A42&gt;0,COS($D42)*$C$16,"")</f>
        <v>-0.17155777796362442</v>
      </c>
      <c r="G42" s="174">
        <f t="shared" si="11"/>
        <v>1.9735338952735362</v>
      </c>
      <c r="H42" s="175">
        <f t="shared" si="12"/>
        <v>2.2561939216005702</v>
      </c>
      <c r="I42" s="3"/>
      <c r="J42">
        <f t="shared" si="23"/>
        <v>-0.32253096415595095</v>
      </c>
      <c r="K42" s="6">
        <f t="shared" si="14"/>
        <v>-5.9844282586692685</v>
      </c>
      <c r="L42">
        <f t="shared" si="15"/>
        <v>1.3234569604328246</v>
      </c>
      <c r="M42">
        <f t="shared" si="19"/>
        <v>5.1060319203269229</v>
      </c>
      <c r="N42">
        <f t="shared" si="20"/>
        <v>3.0363648499209503</v>
      </c>
      <c r="O42" s="163">
        <f t="shared" si="16"/>
        <v>0.23220105513016812</v>
      </c>
      <c r="P42" s="170">
        <f t="shared" si="21"/>
        <v>1.3234569604328246</v>
      </c>
      <c r="Q42" s="170">
        <f t="shared" si="17"/>
        <v>-4.9869722157399021</v>
      </c>
      <c r="R42" s="170">
        <f t="shared" si="2"/>
        <v>4920</v>
      </c>
      <c r="S42" s="251">
        <f>S41+10</f>
        <v>41446</v>
      </c>
      <c r="T42" s="198">
        <v>23.437632581355025</v>
      </c>
      <c r="U42" s="199">
        <v>-1.7115994972921671</v>
      </c>
      <c r="AM42" s="2"/>
    </row>
    <row r="43" spans="1:39">
      <c r="A43" s="132">
        <f t="shared" si="22"/>
        <v>20</v>
      </c>
      <c r="B43" s="18">
        <f t="shared" si="18"/>
        <v>0.84563888888888894</v>
      </c>
      <c r="C43" s="3">
        <f t="shared" si="7"/>
        <v>115.57</v>
      </c>
      <c r="D43" s="3">
        <f t="shared" si="8"/>
        <v>2.0170770165298464</v>
      </c>
      <c r="E43" s="53">
        <f t="shared" ref="E43:E58" si="24">IF(A43&gt;0,SIN($D43)*$C$15,F42)</f>
        <v>1.8041172846851035</v>
      </c>
      <c r="F43" s="53">
        <f t="shared" ref="F43:F58" si="25">IF($A43&gt;0,COS($D43)*$C$16,"")</f>
        <v>-0.40366331795951971</v>
      </c>
      <c r="G43" s="174">
        <f t="shared" si="11"/>
        <v>1.8487247634966215</v>
      </c>
      <c r="H43" s="175">
        <f t="shared" si="12"/>
        <v>2.2466660184533294</v>
      </c>
      <c r="I43" s="3"/>
      <c r="J43">
        <f>ASIN($J$12+($K$12*COS($D43)))</f>
        <v>-0.54940209044795651</v>
      </c>
      <c r="K43" s="6">
        <f t="shared" si="14"/>
        <v>-3.2664641728239929</v>
      </c>
      <c r="L43">
        <f>IF($O43&gt;0,$P43,PI()-$P43)</f>
        <v>1.4253086761402565</v>
      </c>
      <c r="M43">
        <f t="shared" si="19"/>
        <v>5.1060319203269229</v>
      </c>
      <c r="N43">
        <f t="shared" si="20"/>
        <v>3.0363648499209503</v>
      </c>
      <c r="O43" s="163">
        <f t="shared" si="16"/>
        <v>0.12363998173490554</v>
      </c>
      <c r="P43" s="170">
        <f t="shared" si="21"/>
        <v>1.4253086761402565</v>
      </c>
      <c r="Q43" s="170">
        <f t="shared" si="17"/>
        <v>-12.611956915760498</v>
      </c>
      <c r="R43" s="170">
        <f t="shared" si="2"/>
        <v>4930</v>
      </c>
      <c r="S43" s="251">
        <f>S42+10</f>
        <v>41456</v>
      </c>
      <c r="T43" s="198">
        <v>23.110180753851164</v>
      </c>
      <c r="U43" s="199">
        <v>-3.7967241644973555</v>
      </c>
      <c r="AM43" s="2"/>
    </row>
    <row r="44" spans="1:39">
      <c r="A44" s="132">
        <f t="shared" si="22"/>
        <v>20</v>
      </c>
      <c r="B44" s="18">
        <f t="shared" si="18"/>
        <v>0.84563888888888894</v>
      </c>
      <c r="C44" s="3">
        <f t="shared" si="7"/>
        <v>115.57</v>
      </c>
      <c r="D44" s="3">
        <f t="shared" si="8"/>
        <v>2.0170770165298464</v>
      </c>
      <c r="E44" s="53">
        <f t="shared" si="24"/>
        <v>1.8041172846851035</v>
      </c>
      <c r="F44" s="53">
        <f t="shared" si="25"/>
        <v>-0.40366331795951971</v>
      </c>
      <c r="G44" s="174">
        <f t="shared" si="11"/>
        <v>1.8487247634966215</v>
      </c>
      <c r="H44" s="175">
        <f t="shared" si="12"/>
        <v>2.2466660184533294</v>
      </c>
      <c r="I44" s="3"/>
      <c r="J44">
        <f t="shared" si="23"/>
        <v>-0.54940209044795651</v>
      </c>
      <c r="K44" s="6">
        <f t="shared" si="14"/>
        <v>-3.2664641728239929</v>
      </c>
      <c r="L44">
        <f t="shared" si="15"/>
        <v>1.4253086761402565</v>
      </c>
      <c r="M44">
        <f t="shared" si="19"/>
        <v>5.1060319203269229</v>
      </c>
      <c r="N44">
        <f t="shared" si="20"/>
        <v>3.0363648499209503</v>
      </c>
      <c r="O44" s="163">
        <f t="shared" si="16"/>
        <v>0.12363998173490554</v>
      </c>
      <c r="P44" s="170">
        <f t="shared" si="21"/>
        <v>1.4253086761402565</v>
      </c>
      <c r="Q44" s="170">
        <f t="shared" si="17"/>
        <v>-12.611956915760498</v>
      </c>
      <c r="R44" s="170">
        <f t="shared" si="2"/>
        <v>4940</v>
      </c>
      <c r="S44" s="251">
        <f>S43+10</f>
        <v>41466</v>
      </c>
      <c r="T44" s="198">
        <v>22.11128794367195</v>
      </c>
      <c r="U44" s="199">
        <v>-5.4654330914439413</v>
      </c>
      <c r="AM44" s="2"/>
    </row>
    <row r="45" spans="1:39">
      <c r="A45" s="132">
        <f t="shared" si="22"/>
        <v>20</v>
      </c>
      <c r="B45" s="18">
        <f t="shared" si="18"/>
        <v>0.84563888888888894</v>
      </c>
      <c r="C45" s="3">
        <f t="shared" si="7"/>
        <v>115.57</v>
      </c>
      <c r="D45" s="3">
        <f t="shared" si="8"/>
        <v>2.0170770165298464</v>
      </c>
      <c r="E45" s="53">
        <f t="shared" si="24"/>
        <v>1.8041172846851035</v>
      </c>
      <c r="F45" s="53">
        <f t="shared" si="25"/>
        <v>-0.40366331795951971</v>
      </c>
      <c r="G45" s="174">
        <f t="shared" si="11"/>
        <v>1.8487247634966215</v>
      </c>
      <c r="H45" s="175">
        <f t="shared" si="12"/>
        <v>2.2466660184533294</v>
      </c>
      <c r="I45" s="3"/>
      <c r="J45">
        <f t="shared" si="23"/>
        <v>-0.54940209044795651</v>
      </c>
      <c r="K45" s="6">
        <f t="shared" si="14"/>
        <v>-3.2664641728239929</v>
      </c>
      <c r="L45">
        <f t="shared" si="15"/>
        <v>1.4253086761402565</v>
      </c>
      <c r="M45">
        <f t="shared" si="19"/>
        <v>5.1060319203269229</v>
      </c>
      <c r="N45">
        <f t="shared" si="20"/>
        <v>3.0363648499209503</v>
      </c>
      <c r="O45" s="163">
        <f t="shared" si="16"/>
        <v>0.12363998173490554</v>
      </c>
      <c r="P45" s="170">
        <f t="shared" si="21"/>
        <v>1.4253086761402565</v>
      </c>
      <c r="Q45" s="170">
        <f t="shared" si="17"/>
        <v>-12.611956915760498</v>
      </c>
      <c r="R45" s="170">
        <f t="shared" si="2"/>
        <v>4950</v>
      </c>
      <c r="S45" s="251">
        <f>S44+10</f>
        <v>41476</v>
      </c>
      <c r="T45" s="198">
        <v>20.480977595507181</v>
      </c>
      <c r="U45" s="199">
        <v>-6.4067361706608041</v>
      </c>
      <c r="AM45" s="2"/>
    </row>
    <row r="46" spans="1:39">
      <c r="A46" s="132">
        <f t="shared" si="22"/>
        <v>20</v>
      </c>
      <c r="B46" s="18">
        <f t="shared" si="18"/>
        <v>0.84563888888888894</v>
      </c>
      <c r="C46" s="3">
        <f t="shared" si="7"/>
        <v>115.57</v>
      </c>
      <c r="D46" s="3">
        <f t="shared" si="8"/>
        <v>2.0170770165298464</v>
      </c>
      <c r="E46" s="53">
        <f t="shared" si="24"/>
        <v>1.8041172846851035</v>
      </c>
      <c r="F46" s="53">
        <f t="shared" si="25"/>
        <v>-0.40366331795951971</v>
      </c>
      <c r="G46" s="174">
        <f t="shared" si="11"/>
        <v>1.8487247634966215</v>
      </c>
      <c r="H46" s="175">
        <f t="shared" si="12"/>
        <v>2.2466660184533294</v>
      </c>
      <c r="I46" s="3"/>
      <c r="J46">
        <f t="shared" si="23"/>
        <v>-0.54940209044795651</v>
      </c>
      <c r="K46" s="6">
        <f t="shared" si="14"/>
        <v>-3.2664641728239929</v>
      </c>
      <c r="L46">
        <f t="shared" si="15"/>
        <v>1.4253086761402565</v>
      </c>
      <c r="M46">
        <f t="shared" si="19"/>
        <v>5.1060319203269229</v>
      </c>
      <c r="N46">
        <f t="shared" si="20"/>
        <v>3.0363648499209503</v>
      </c>
      <c r="O46" s="163">
        <f t="shared" si="16"/>
        <v>0.12363998173490554</v>
      </c>
      <c r="P46" s="170">
        <f t="shared" si="21"/>
        <v>1.4253086761402565</v>
      </c>
      <c r="Q46" s="170">
        <f t="shared" si="17"/>
        <v>-12.611956915760498</v>
      </c>
      <c r="R46" s="170">
        <f t="shared" si="2"/>
        <v>4961</v>
      </c>
      <c r="S46" s="251">
        <f>S45+11</f>
        <v>41487</v>
      </c>
      <c r="T46" s="198">
        <v>18.03038029206709</v>
      </c>
      <c r="U46" s="199">
        <v>-6.3614039658966863</v>
      </c>
      <c r="AM46" s="2"/>
    </row>
    <row r="47" spans="1:39">
      <c r="A47" s="132">
        <f t="shared" si="22"/>
        <v>20</v>
      </c>
      <c r="B47" s="18">
        <f t="shared" si="18"/>
        <v>0.84563888888888894</v>
      </c>
      <c r="C47" s="3">
        <f t="shared" si="7"/>
        <v>115.57</v>
      </c>
      <c r="D47" s="3">
        <f t="shared" si="8"/>
        <v>2.0170770165298464</v>
      </c>
      <c r="E47" s="53">
        <f t="shared" si="24"/>
        <v>1.8041172846851035</v>
      </c>
      <c r="F47" s="53">
        <f t="shared" si="25"/>
        <v>-0.40366331795951971</v>
      </c>
      <c r="G47" s="174">
        <f t="shared" si="11"/>
        <v>1.8487247634966215</v>
      </c>
      <c r="H47" s="175">
        <f t="shared" si="12"/>
        <v>2.2466660184533294</v>
      </c>
      <c r="I47" s="3"/>
      <c r="J47">
        <f t="shared" si="23"/>
        <v>-0.54940209044795651</v>
      </c>
      <c r="K47" s="6">
        <f t="shared" si="14"/>
        <v>-3.2664641728239929</v>
      </c>
      <c r="L47">
        <f t="shared" si="15"/>
        <v>1.4253086761402565</v>
      </c>
      <c r="M47">
        <f t="shared" si="19"/>
        <v>5.1060319203269229</v>
      </c>
      <c r="N47">
        <f t="shared" si="20"/>
        <v>3.0363648499209503</v>
      </c>
      <c r="O47" s="163">
        <f t="shared" si="16"/>
        <v>0.12363998173490554</v>
      </c>
      <c r="P47" s="170">
        <f t="shared" si="21"/>
        <v>1.4253086761402565</v>
      </c>
      <c r="Q47" s="170">
        <f t="shared" si="17"/>
        <v>-12.611956915760498</v>
      </c>
      <c r="R47" s="170">
        <f t="shared" si="2"/>
        <v>4971</v>
      </c>
      <c r="S47" s="251">
        <f>S46+10</f>
        <v>41497</v>
      </c>
      <c r="T47" s="198">
        <v>15.285844612056914</v>
      </c>
      <c r="U47" s="199">
        <v>-5.2630491632105132</v>
      </c>
      <c r="AM47" s="2"/>
    </row>
    <row r="48" spans="1:39">
      <c r="A48" s="132">
        <f t="shared" si="22"/>
        <v>20</v>
      </c>
      <c r="B48" s="18">
        <f t="shared" si="18"/>
        <v>0.84563888888888894</v>
      </c>
      <c r="C48" s="3">
        <f t="shared" si="7"/>
        <v>115.57</v>
      </c>
      <c r="D48" s="3">
        <f t="shared" si="8"/>
        <v>2.0170770165298464</v>
      </c>
      <c r="E48" s="53">
        <f t="shared" si="24"/>
        <v>1.8041172846851035</v>
      </c>
      <c r="F48" s="53">
        <f t="shared" si="25"/>
        <v>-0.40366331795951971</v>
      </c>
      <c r="G48" s="174">
        <f t="shared" si="11"/>
        <v>1.8487247634966215</v>
      </c>
      <c r="H48" s="175">
        <f t="shared" si="12"/>
        <v>2.2466660184533294</v>
      </c>
      <c r="I48" s="3"/>
      <c r="J48">
        <f t="shared" si="23"/>
        <v>-0.54940209044795651</v>
      </c>
      <c r="K48" s="6">
        <f t="shared" si="14"/>
        <v>-3.2664641728239929</v>
      </c>
      <c r="L48">
        <f t="shared" si="15"/>
        <v>1.4253086761402565</v>
      </c>
      <c r="M48">
        <f t="shared" si="19"/>
        <v>5.1060319203269229</v>
      </c>
      <c r="N48">
        <f t="shared" si="20"/>
        <v>3.0363648499209503</v>
      </c>
      <c r="O48" s="163">
        <f t="shared" si="16"/>
        <v>0.12363998173490554</v>
      </c>
      <c r="P48" s="170">
        <f t="shared" si="21"/>
        <v>1.4253086761402565</v>
      </c>
      <c r="Q48" s="170">
        <f t="shared" si="17"/>
        <v>-12.611956915760498</v>
      </c>
      <c r="R48" s="170">
        <f t="shared" si="2"/>
        <v>4981</v>
      </c>
      <c r="S48" s="251">
        <f>S47+10</f>
        <v>41507</v>
      </c>
      <c r="T48" s="198">
        <v>12.134749138417925</v>
      </c>
      <c r="U48" s="199">
        <v>-3.222545045970691</v>
      </c>
      <c r="AM48" s="2"/>
    </row>
    <row r="49" spans="1:39">
      <c r="A49" s="132">
        <f t="shared" si="22"/>
        <v>20</v>
      </c>
      <c r="B49" s="18">
        <f t="shared" si="18"/>
        <v>0.84563888888888894</v>
      </c>
      <c r="C49" s="3">
        <f t="shared" si="7"/>
        <v>115.57</v>
      </c>
      <c r="D49" s="3">
        <f t="shared" si="8"/>
        <v>2.0170770165298464</v>
      </c>
      <c r="E49" s="53">
        <f t="shared" si="24"/>
        <v>1.8041172846851035</v>
      </c>
      <c r="F49" s="53">
        <f t="shared" si="25"/>
        <v>-0.40366331795951971</v>
      </c>
      <c r="G49" s="174">
        <f t="shared" si="11"/>
        <v>1.8487247634966215</v>
      </c>
      <c r="H49" s="175">
        <f t="shared" si="12"/>
        <v>2.2466660184533294</v>
      </c>
      <c r="I49" s="3"/>
      <c r="J49">
        <f t="shared" si="23"/>
        <v>-0.54940209044795651</v>
      </c>
      <c r="K49" s="6">
        <f t="shared" si="14"/>
        <v>-3.2664641728239929</v>
      </c>
      <c r="L49">
        <f t="shared" si="15"/>
        <v>1.4253086761402565</v>
      </c>
      <c r="M49">
        <f t="shared" si="19"/>
        <v>5.1060319203269229</v>
      </c>
      <c r="N49">
        <f t="shared" si="20"/>
        <v>3.0363648499209503</v>
      </c>
      <c r="O49" s="163">
        <f t="shared" si="16"/>
        <v>0.12363998173490554</v>
      </c>
      <c r="P49" s="170">
        <f t="shared" si="21"/>
        <v>1.4253086761402565</v>
      </c>
      <c r="Q49" s="170">
        <f t="shared" si="17"/>
        <v>-12.611956915760498</v>
      </c>
      <c r="R49" s="170">
        <f t="shared" si="2"/>
        <v>4992</v>
      </c>
      <c r="S49" s="251">
        <f>S48+11</f>
        <v>41518</v>
      </c>
      <c r="T49" s="198">
        <v>8.3027877148934319</v>
      </c>
      <c r="U49" s="199">
        <v>-9.8611697922150632E-2</v>
      </c>
      <c r="AM49" s="2"/>
    </row>
    <row r="50" spans="1:39">
      <c r="A50" s="132">
        <f t="shared" si="22"/>
        <v>20</v>
      </c>
      <c r="B50" s="18">
        <f t="shared" si="18"/>
        <v>0.84563888888888894</v>
      </c>
      <c r="C50" s="3">
        <f t="shared" si="7"/>
        <v>115.57</v>
      </c>
      <c r="D50" s="3">
        <f t="shared" si="8"/>
        <v>2.0170770165298464</v>
      </c>
      <c r="E50" s="53">
        <f t="shared" si="24"/>
        <v>1.8041172846851035</v>
      </c>
      <c r="F50" s="53">
        <f t="shared" si="25"/>
        <v>-0.40366331795951971</v>
      </c>
      <c r="G50" s="174">
        <f t="shared" si="11"/>
        <v>1.8487247634966215</v>
      </c>
      <c r="H50" s="175">
        <f t="shared" si="12"/>
        <v>2.2466660184533294</v>
      </c>
      <c r="I50" s="3"/>
      <c r="J50">
        <f t="shared" si="23"/>
        <v>-0.54940209044795651</v>
      </c>
      <c r="K50" s="6">
        <f t="shared" si="14"/>
        <v>-3.2664641728239929</v>
      </c>
      <c r="L50">
        <f t="shared" si="15"/>
        <v>1.4253086761402565</v>
      </c>
      <c r="M50">
        <f t="shared" si="19"/>
        <v>5.1060319203269229</v>
      </c>
      <c r="N50">
        <f t="shared" si="20"/>
        <v>3.0363648499209503</v>
      </c>
      <c r="O50" s="163">
        <f t="shared" si="16"/>
        <v>0.12363998173490554</v>
      </c>
      <c r="P50" s="170">
        <f t="shared" si="21"/>
        <v>1.4253086761402565</v>
      </c>
      <c r="Q50" s="170">
        <f t="shared" si="17"/>
        <v>-12.611956915760498</v>
      </c>
      <c r="R50" s="170">
        <f t="shared" si="2"/>
        <v>5002</v>
      </c>
      <c r="S50" s="251">
        <f>S49+10</f>
        <v>41528</v>
      </c>
      <c r="T50" s="198">
        <v>4.5830732952182105</v>
      </c>
      <c r="U50" s="199">
        <v>3.2660129708167638</v>
      </c>
      <c r="AM50" s="2"/>
    </row>
    <row r="51" spans="1:39">
      <c r="A51" s="132">
        <f t="shared" si="22"/>
        <v>20</v>
      </c>
      <c r="B51" s="18">
        <f t="shared" si="18"/>
        <v>0.84563888888888894</v>
      </c>
      <c r="C51" s="3">
        <f t="shared" si="7"/>
        <v>115.57</v>
      </c>
      <c r="D51" s="3">
        <f t="shared" si="8"/>
        <v>2.0170770165298464</v>
      </c>
      <c r="E51" s="53">
        <f t="shared" si="24"/>
        <v>1.8041172846851035</v>
      </c>
      <c r="F51" s="53">
        <f t="shared" si="25"/>
        <v>-0.40366331795951971</v>
      </c>
      <c r="G51" s="174">
        <f t="shared" si="11"/>
        <v>1.8487247634966215</v>
      </c>
      <c r="H51" s="175">
        <f t="shared" si="12"/>
        <v>2.2466660184533294</v>
      </c>
      <c r="I51" s="3"/>
      <c r="J51">
        <f t="shared" si="23"/>
        <v>-0.54940209044795651</v>
      </c>
      <c r="K51" s="6">
        <f t="shared" si="14"/>
        <v>-3.2664641728239929</v>
      </c>
      <c r="L51">
        <f t="shared" si="15"/>
        <v>1.4253086761402565</v>
      </c>
      <c r="M51">
        <f t="shared" si="19"/>
        <v>5.1060319203269229</v>
      </c>
      <c r="N51">
        <f t="shared" si="20"/>
        <v>3.0363648499209503</v>
      </c>
      <c r="O51" s="163">
        <f t="shared" si="16"/>
        <v>0.12363998173490554</v>
      </c>
      <c r="P51" s="170">
        <f t="shared" si="21"/>
        <v>1.4253086761402565</v>
      </c>
      <c r="Q51" s="170">
        <f t="shared" si="17"/>
        <v>-12.611956915760498</v>
      </c>
      <c r="R51" s="170">
        <f t="shared" si="2"/>
        <v>5012</v>
      </c>
      <c r="S51" s="251">
        <f>S50+10</f>
        <v>41538</v>
      </c>
      <c r="T51" s="198">
        <v>0.73174849583653812</v>
      </c>
      <c r="U51" s="199">
        <v>6.8188191126088666</v>
      </c>
      <c r="AM51" s="2"/>
    </row>
    <row r="52" spans="1:39">
      <c r="A52" s="132">
        <f t="shared" si="22"/>
        <v>20</v>
      </c>
      <c r="B52" s="18">
        <f t="shared" si="18"/>
        <v>0.84563888888888894</v>
      </c>
      <c r="C52" s="3">
        <f t="shared" si="7"/>
        <v>115.57</v>
      </c>
      <c r="D52" s="3">
        <f t="shared" si="8"/>
        <v>2.0170770165298464</v>
      </c>
      <c r="E52" s="53">
        <f t="shared" si="24"/>
        <v>1.8041172846851035</v>
      </c>
      <c r="F52" s="53">
        <f t="shared" si="25"/>
        <v>-0.40366331795951971</v>
      </c>
      <c r="G52" s="174">
        <f t="shared" si="11"/>
        <v>1.8487247634966215</v>
      </c>
      <c r="H52" s="175">
        <f t="shared" si="12"/>
        <v>2.2466660184533294</v>
      </c>
      <c r="I52" s="3"/>
      <c r="J52">
        <f t="shared" si="23"/>
        <v>-0.54940209044795651</v>
      </c>
      <c r="K52" s="6">
        <f t="shared" si="14"/>
        <v>-3.2664641728239929</v>
      </c>
      <c r="L52">
        <f t="shared" si="15"/>
        <v>1.4253086761402565</v>
      </c>
      <c r="M52">
        <f t="shared" si="19"/>
        <v>5.1060319203269229</v>
      </c>
      <c r="N52">
        <f t="shared" si="20"/>
        <v>3.0363648499209503</v>
      </c>
      <c r="O52" s="163">
        <f t="shared" si="16"/>
        <v>0.12363998173490554</v>
      </c>
      <c r="P52" s="170">
        <f t="shared" si="21"/>
        <v>1.4253086761402565</v>
      </c>
      <c r="Q52" s="170">
        <f t="shared" si="17"/>
        <v>-12.611956915760498</v>
      </c>
      <c r="R52" s="170">
        <f t="shared" si="2"/>
        <v>5022</v>
      </c>
      <c r="S52" s="251">
        <f>S51+10</f>
        <v>41548</v>
      </c>
      <c r="T52" s="198">
        <v>-3.1587419195866189</v>
      </c>
      <c r="U52" s="199">
        <v>10.233283739901765</v>
      </c>
      <c r="AM52" s="2"/>
    </row>
    <row r="53" spans="1:39">
      <c r="A53" s="132">
        <f t="shared" si="22"/>
        <v>20</v>
      </c>
      <c r="B53" s="18">
        <f t="shared" si="18"/>
        <v>0.84563888888888894</v>
      </c>
      <c r="C53" s="3">
        <f t="shared" si="7"/>
        <v>115.57</v>
      </c>
      <c r="D53" s="3">
        <f t="shared" si="8"/>
        <v>2.0170770165298464</v>
      </c>
      <c r="E53" s="53">
        <f t="shared" si="24"/>
        <v>1.8041172846851035</v>
      </c>
      <c r="F53" s="53">
        <f t="shared" si="25"/>
        <v>-0.40366331795951971</v>
      </c>
      <c r="G53" s="174">
        <f t="shared" si="11"/>
        <v>1.8487247634966215</v>
      </c>
      <c r="H53" s="175">
        <f t="shared" si="12"/>
        <v>2.2466660184533294</v>
      </c>
      <c r="I53" s="3"/>
      <c r="J53">
        <f t="shared" si="23"/>
        <v>-0.54940209044795651</v>
      </c>
      <c r="K53" s="6">
        <f t="shared" si="14"/>
        <v>-3.2664641728239929</v>
      </c>
      <c r="L53">
        <f t="shared" si="15"/>
        <v>1.4253086761402565</v>
      </c>
      <c r="M53">
        <f t="shared" si="19"/>
        <v>5.1060319203269229</v>
      </c>
      <c r="N53">
        <f t="shared" si="20"/>
        <v>3.0363648499209503</v>
      </c>
      <c r="O53" s="163">
        <f t="shared" si="16"/>
        <v>0.12363998173490554</v>
      </c>
      <c r="P53" s="170">
        <f t="shared" si="21"/>
        <v>1.4253086761402565</v>
      </c>
      <c r="Q53" s="170">
        <f t="shared" si="17"/>
        <v>-12.611956915760498</v>
      </c>
      <c r="R53" s="170">
        <f t="shared" si="2"/>
        <v>5032</v>
      </c>
      <c r="S53" s="251">
        <f>S52+10</f>
        <v>41558</v>
      </c>
      <c r="T53" s="198">
        <v>-6.9924332136598597</v>
      </c>
      <c r="U53" s="199">
        <v>13.175066999232685</v>
      </c>
      <c r="AM53" s="2"/>
    </row>
    <row r="54" spans="1:39">
      <c r="A54" s="132">
        <f t="shared" si="22"/>
        <v>20</v>
      </c>
      <c r="B54" s="18">
        <f t="shared" si="18"/>
        <v>0.84563888888888894</v>
      </c>
      <c r="C54" s="3">
        <f t="shared" si="7"/>
        <v>115.57</v>
      </c>
      <c r="D54" s="3">
        <f t="shared" si="8"/>
        <v>2.0170770165298464</v>
      </c>
      <c r="E54" s="53">
        <f t="shared" si="24"/>
        <v>1.8041172846851035</v>
      </c>
      <c r="F54" s="53">
        <f t="shared" si="25"/>
        <v>-0.40366331795951971</v>
      </c>
      <c r="G54" s="174">
        <f t="shared" si="11"/>
        <v>1.8487247634966215</v>
      </c>
      <c r="H54" s="175">
        <f t="shared" si="12"/>
        <v>2.2466660184533294</v>
      </c>
      <c r="I54" s="3"/>
      <c r="J54">
        <f t="shared" si="23"/>
        <v>-0.54940209044795651</v>
      </c>
      <c r="K54" s="6">
        <f t="shared" si="14"/>
        <v>-3.2664641728239929</v>
      </c>
      <c r="L54">
        <f t="shared" si="15"/>
        <v>1.4253086761402565</v>
      </c>
      <c r="M54">
        <f t="shared" si="19"/>
        <v>5.1060319203269229</v>
      </c>
      <c r="N54">
        <f t="shared" si="20"/>
        <v>3.0363648499209503</v>
      </c>
      <c r="O54" s="163">
        <f t="shared" si="16"/>
        <v>0.12363998173490554</v>
      </c>
      <c r="P54" s="170">
        <f t="shared" si="21"/>
        <v>1.4253086761402565</v>
      </c>
      <c r="Q54" s="170">
        <f t="shared" si="17"/>
        <v>-12.611956915760498</v>
      </c>
      <c r="R54" s="170">
        <f t="shared" si="2"/>
        <v>5042</v>
      </c>
      <c r="S54" s="251">
        <f>S53+10</f>
        <v>41568</v>
      </c>
      <c r="T54" s="198">
        <v>-10.668513311486565</v>
      </c>
      <c r="U54" s="199">
        <v>15.318775261550705</v>
      </c>
      <c r="AM54" s="2"/>
    </row>
    <row r="55" spans="1:39">
      <c r="A55" s="132">
        <f t="shared" si="22"/>
        <v>20</v>
      </c>
      <c r="B55" s="18">
        <f t="shared" si="18"/>
        <v>0.84563888888888894</v>
      </c>
      <c r="C55" s="3">
        <f t="shared" si="7"/>
        <v>115.57</v>
      </c>
      <c r="D55" s="3">
        <f t="shared" si="8"/>
        <v>2.0170770165298464</v>
      </c>
      <c r="E55" s="53">
        <f t="shared" si="24"/>
        <v>1.8041172846851035</v>
      </c>
      <c r="F55" s="53">
        <f t="shared" si="25"/>
        <v>-0.40366331795951971</v>
      </c>
      <c r="G55" s="174">
        <f t="shared" si="11"/>
        <v>1.8487247634966215</v>
      </c>
      <c r="H55" s="175">
        <f t="shared" si="12"/>
        <v>2.2466660184533294</v>
      </c>
      <c r="I55" s="3"/>
      <c r="J55">
        <f t="shared" si="23"/>
        <v>-0.54940209044795651</v>
      </c>
      <c r="K55" s="6">
        <f t="shared" si="14"/>
        <v>-3.2664641728239929</v>
      </c>
      <c r="L55">
        <f t="shared" si="15"/>
        <v>1.4253086761402565</v>
      </c>
      <c r="M55">
        <f t="shared" si="19"/>
        <v>5.1060319203269229</v>
      </c>
      <c r="N55">
        <f t="shared" si="20"/>
        <v>3.0363648499209503</v>
      </c>
      <c r="O55" s="163">
        <f t="shared" si="16"/>
        <v>0.12363998173490554</v>
      </c>
      <c r="P55" s="170">
        <f t="shared" si="21"/>
        <v>1.4253086761402565</v>
      </c>
      <c r="Q55" s="170">
        <f t="shared" si="17"/>
        <v>-12.611956915760498</v>
      </c>
      <c r="R55" s="170">
        <f t="shared" si="2"/>
        <v>5053</v>
      </c>
      <c r="S55" s="251">
        <f>S54+11</f>
        <v>41579</v>
      </c>
      <c r="T55" s="198">
        <v>-14.403199248645491</v>
      </c>
      <c r="U55" s="199">
        <v>16.409515060939913</v>
      </c>
      <c r="AM55" s="2"/>
    </row>
    <row r="56" spans="1:39">
      <c r="A56" s="132">
        <f t="shared" si="22"/>
        <v>20</v>
      </c>
      <c r="B56" s="18">
        <f t="shared" si="18"/>
        <v>0.84563888888888894</v>
      </c>
      <c r="C56" s="3">
        <f t="shared" si="7"/>
        <v>115.57</v>
      </c>
      <c r="D56" s="3">
        <f t="shared" si="8"/>
        <v>2.0170770165298464</v>
      </c>
      <c r="E56" s="53">
        <f t="shared" si="24"/>
        <v>1.8041172846851035</v>
      </c>
      <c r="F56" s="53">
        <f t="shared" si="25"/>
        <v>-0.40366331795951971</v>
      </c>
      <c r="G56" s="174">
        <f t="shared" si="11"/>
        <v>1.8487247634966215</v>
      </c>
      <c r="H56" s="175">
        <f t="shared" si="12"/>
        <v>2.2466660184533294</v>
      </c>
      <c r="I56" s="3"/>
      <c r="J56">
        <f t="shared" si="23"/>
        <v>-0.54940209044795651</v>
      </c>
      <c r="K56" s="6">
        <f t="shared" si="14"/>
        <v>-3.2664641728239929</v>
      </c>
      <c r="L56">
        <f t="shared" si="15"/>
        <v>1.4253086761402565</v>
      </c>
      <c r="M56">
        <f t="shared" si="19"/>
        <v>5.1060319203269229</v>
      </c>
      <c r="N56">
        <f t="shared" si="20"/>
        <v>3.0363648499209503</v>
      </c>
      <c r="O56" s="163">
        <f t="shared" si="16"/>
        <v>0.12363998173490554</v>
      </c>
      <c r="P56" s="170">
        <f t="shared" si="21"/>
        <v>1.4253086761402565</v>
      </c>
      <c r="Q56" s="170">
        <f t="shared" si="17"/>
        <v>-12.611956915760498</v>
      </c>
      <c r="R56" s="170">
        <f t="shared" si="2"/>
        <v>5063</v>
      </c>
      <c r="S56" s="251">
        <f>S55+10</f>
        <v>41589</v>
      </c>
      <c r="T56" s="198">
        <v>-17.397176546428245</v>
      </c>
      <c r="U56" s="199">
        <v>16.017455834376129</v>
      </c>
      <c r="AM56" s="2"/>
    </row>
    <row r="57" spans="1:39">
      <c r="A57" s="132">
        <f t="shared" si="22"/>
        <v>20</v>
      </c>
      <c r="B57" s="18">
        <f t="shared" si="18"/>
        <v>0.84563888888888894</v>
      </c>
      <c r="C57" s="3">
        <f t="shared" si="7"/>
        <v>115.57</v>
      </c>
      <c r="D57" s="3">
        <f t="shared" si="8"/>
        <v>2.0170770165298464</v>
      </c>
      <c r="E57" s="53">
        <f t="shared" si="24"/>
        <v>1.8041172846851035</v>
      </c>
      <c r="F57" s="53">
        <f t="shared" si="25"/>
        <v>-0.40366331795951971</v>
      </c>
      <c r="G57" s="174">
        <f t="shared" si="11"/>
        <v>1.8487247634966215</v>
      </c>
      <c r="H57" s="175">
        <f t="shared" si="12"/>
        <v>2.2466660184533294</v>
      </c>
      <c r="I57" s="3"/>
      <c r="J57">
        <f t="shared" si="23"/>
        <v>-0.54940209044795651</v>
      </c>
      <c r="K57" s="6">
        <f t="shared" si="14"/>
        <v>-3.2664641728239929</v>
      </c>
      <c r="L57">
        <f t="shared" si="15"/>
        <v>1.4253086761402565</v>
      </c>
      <c r="M57">
        <f t="shared" si="19"/>
        <v>5.1060319203269229</v>
      </c>
      <c r="N57">
        <f t="shared" si="20"/>
        <v>3.0363648499209503</v>
      </c>
      <c r="O57" s="163">
        <f t="shared" si="16"/>
        <v>0.12363998173490554</v>
      </c>
      <c r="P57" s="170">
        <f t="shared" si="21"/>
        <v>1.4253086761402565</v>
      </c>
      <c r="Q57" s="170">
        <f t="shared" si="17"/>
        <v>-12.611956915760498</v>
      </c>
      <c r="R57" s="170">
        <f t="shared" si="2"/>
        <v>5073</v>
      </c>
      <c r="S57" s="251">
        <f>S56+10</f>
        <v>41599</v>
      </c>
      <c r="T57" s="198">
        <v>-19.893718314246449</v>
      </c>
      <c r="U57" s="199">
        <v>14.216870539175908</v>
      </c>
      <c r="AM57" s="2"/>
    </row>
    <row r="58" spans="1:39">
      <c r="A58" s="132">
        <f t="shared" si="22"/>
        <v>20</v>
      </c>
      <c r="B58" s="18">
        <f t="shared" si="18"/>
        <v>0.84563888888888894</v>
      </c>
      <c r="C58" s="3">
        <f t="shared" si="7"/>
        <v>115.57</v>
      </c>
      <c r="D58" s="3">
        <f t="shared" si="8"/>
        <v>2.0170770165298464</v>
      </c>
      <c r="E58" s="104">
        <f t="shared" si="24"/>
        <v>1.8041172846851035</v>
      </c>
      <c r="F58" s="104">
        <f t="shared" si="25"/>
        <v>-0.40366331795951971</v>
      </c>
      <c r="G58" s="176">
        <f t="shared" si="11"/>
        <v>1.8487247634966215</v>
      </c>
      <c r="H58" s="177">
        <f t="shared" si="12"/>
        <v>2.2466660184533294</v>
      </c>
      <c r="I58" s="3"/>
      <c r="J58">
        <f t="shared" si="23"/>
        <v>-0.54940209044795651</v>
      </c>
      <c r="K58" s="6">
        <f t="shared" si="14"/>
        <v>-3.2664641728239929</v>
      </c>
      <c r="L58">
        <f t="shared" si="15"/>
        <v>1.4253086761402565</v>
      </c>
      <c r="M58">
        <f>IF($J58&gt;0,IF($K58&lt;15,$K58*SIN($L58),$M57),$M57)</f>
        <v>5.1060319203269229</v>
      </c>
      <c r="N58">
        <f t="shared" si="20"/>
        <v>3.0363648499209503</v>
      </c>
      <c r="O58" s="163">
        <f t="shared" si="16"/>
        <v>0.12363998173490554</v>
      </c>
      <c r="P58" s="170">
        <f t="shared" si="21"/>
        <v>1.4253086761402565</v>
      </c>
      <c r="Q58" s="170">
        <f t="shared" si="17"/>
        <v>-12.611956915760498</v>
      </c>
      <c r="R58" s="170">
        <f t="shared" si="2"/>
        <v>5083</v>
      </c>
      <c r="S58" s="251">
        <f>S57+10</f>
        <v>41609</v>
      </c>
      <c r="T58" s="198">
        <v>-21.787439742405649</v>
      </c>
      <c r="U58" s="199">
        <v>11.089498784250033</v>
      </c>
      <c r="AM58" s="2"/>
    </row>
    <row r="59" spans="1:39">
      <c r="D59" s="353"/>
      <c r="E59" s="353"/>
      <c r="F59" s="353"/>
      <c r="G59" s="84"/>
      <c r="H59" s="3"/>
      <c r="I59" s="3"/>
      <c r="J59" s="3"/>
      <c r="O59" s="171"/>
      <c r="P59" s="168"/>
      <c r="Q59" s="170"/>
      <c r="R59" s="170">
        <f t="shared" si="2"/>
        <v>5093</v>
      </c>
      <c r="S59" s="251">
        <f>S58+10</f>
        <v>41619</v>
      </c>
      <c r="T59" s="198">
        <v>-22.988909264808527</v>
      </c>
      <c r="U59" s="199">
        <v>6.9012846826183809</v>
      </c>
      <c r="AM59" s="2"/>
    </row>
    <row r="60" spans="1:39">
      <c r="C60" s="102" t="s">
        <v>61</v>
      </c>
      <c r="D60" s="355" t="str">
        <f>IF($C$7,"Calculation of Date Points in Layout and Layout2","Berechnung der Datumspunkte in Layout u. Layout2")</f>
        <v>Calculation of Date Points in Layout and Layout2</v>
      </c>
      <c r="E60" s="355"/>
      <c r="F60" s="355"/>
      <c r="G60" s="355"/>
      <c r="H60" s="3"/>
      <c r="I60" s="3"/>
      <c r="O60" s="171"/>
      <c r="P60" s="168"/>
      <c r="Q60" s="170"/>
      <c r="R60" s="170">
        <f t="shared" si="2"/>
        <v>5103</v>
      </c>
      <c r="S60" s="251">
        <f>S59+10</f>
        <v>41629</v>
      </c>
      <c r="T60" s="198">
        <v>-23.43565159121577</v>
      </c>
      <c r="U60" s="199">
        <v>2.0819949427257138</v>
      </c>
    </row>
    <row r="61" spans="1:39">
      <c r="A61" s="33"/>
      <c r="B61" s="25" t="s">
        <v>9</v>
      </c>
      <c r="H61" s="3"/>
      <c r="I61" s="340" t="str">
        <f>IF($C$7,"Width of Date Lines","Breite der Datumsleiste")</f>
        <v>Width of Date Lines</v>
      </c>
      <c r="J61" s="340" t="str">
        <f>IF($C$7,"Days since 1.1.2000","Tage seit 1.1.2000")</f>
        <v>Days since 1.1.2000</v>
      </c>
      <c r="O61" s="171"/>
      <c r="P61" s="168"/>
      <c r="Q61" s="170"/>
      <c r="R61" s="170">
        <f t="shared" si="2"/>
        <v>5114</v>
      </c>
      <c r="S61" s="252">
        <f>S60+11</f>
        <v>41640</v>
      </c>
      <c r="T61" s="200">
        <v>-23.025293504685006</v>
      </c>
      <c r="U61" s="201">
        <v>-3.3119446804536787</v>
      </c>
    </row>
    <row r="62" spans="1:39" s="26" customFormat="1">
      <c r="A62" s="166"/>
      <c r="B62" s="27" t="str">
        <f>IF($C$7,"Date","Datum")</f>
        <v>Date</v>
      </c>
      <c r="C62" s="17" t="str">
        <f>IF($C$7,"Day (Date)","Tag (Datum)")</f>
        <v>Day (Date)</v>
      </c>
      <c r="D62" s="17" t="str">
        <f>IF($C$7,"Declination","Deklination")</f>
        <v>Declination</v>
      </c>
      <c r="E62" s="17" t="s">
        <v>55</v>
      </c>
      <c r="F62" s="17" t="s">
        <v>3</v>
      </c>
      <c r="G62" s="52" t="str">
        <f>IF($C$7,"Date Point Z","Datumspunkt Z")</f>
        <v>Date Point Z</v>
      </c>
      <c r="H62" s="52" t="str">
        <f>IF($C$7,"Date","Datum")</f>
        <v>Date</v>
      </c>
      <c r="I62" s="340"/>
      <c r="J62" s="340"/>
      <c r="K62" s="32" t="s">
        <v>0</v>
      </c>
      <c r="L62" s="32" t="s">
        <v>11</v>
      </c>
      <c r="M62" s="32" t="s">
        <v>12</v>
      </c>
      <c r="N62" s="33" t="s">
        <v>14</v>
      </c>
      <c r="O62" s="33" t="s">
        <v>15</v>
      </c>
      <c r="P62" s="32" t="s">
        <v>13</v>
      </c>
      <c r="Q62" s="33" t="s">
        <v>16</v>
      </c>
      <c r="R62" s="31"/>
    </row>
    <row r="63" spans="1:39">
      <c r="A63" s="167">
        <f>J63</f>
        <v>731</v>
      </c>
      <c r="B63" s="81">
        <v>37257</v>
      </c>
      <c r="C63" s="4">
        <f>DATEVALUE(B63)-DATEVALUE($B$63)+1</f>
        <v>1</v>
      </c>
      <c r="D63" s="28">
        <f>ASIN(SIN(K63*$J$1)*SIN(P63*$J$1))/$J$1</f>
        <v>-22.991633987675449</v>
      </c>
      <c r="E63" s="29">
        <f>Q63*4</f>
        <v>-3.536725508672915</v>
      </c>
      <c r="F63" s="3">
        <f>-E63/2/360*3.1415926*$C$15</f>
        <v>3.0863751906327962E-2</v>
      </c>
      <c r="G63" s="178">
        <f t="shared" ref="G63:G70" si="26">TAN(D63*$J$1)*SIN(($K$18-$J$9))*$C$15/SIN($K$18)</f>
        <v>-0.75010650309605309</v>
      </c>
      <c r="H63" s="56">
        <f>B63</f>
        <v>37257</v>
      </c>
      <c r="I63" s="46">
        <v>-0.15</v>
      </c>
      <c r="J63" s="41">
        <f>DATEVALUE($B63)-DATE(2000,1,1)</f>
        <v>731</v>
      </c>
      <c r="K63" s="35">
        <f t="shared" ref="K63:K79" si="27">23.4393-J63/36525*0.013</f>
        <v>23.4390398220397</v>
      </c>
      <c r="L63" s="35">
        <f>36000.77/36525*J63+280.46</f>
        <v>1000.9682236824092</v>
      </c>
      <c r="M63" s="8">
        <f>35999.05/36525*J63+357.528</f>
        <v>1078.0018001368926</v>
      </c>
      <c r="N63" s="9">
        <f t="shared" ref="N63:N70" si="28">IF(L63&gt;0,L63-FLOOR(L63,360),L63+CEILING(-L63,360))</f>
        <v>280.96822368240919</v>
      </c>
      <c r="O63" s="9">
        <f t="shared" ref="O63:O68" si="29">IF(M63&gt;0,M63-FLOOR(M63,360),M63+CEILING(-M63,360))</f>
        <v>358.0018001368926</v>
      </c>
      <c r="P63" s="8">
        <f>N63+1.915*SIN(O63*$J$1)+0.02*SIN(2*$J$1*O63)</f>
        <v>280.90005739987919</v>
      </c>
      <c r="Q63" s="9">
        <f>-1.915*SIN(M63*$J$1)-0.02*SIN(M63*2*$J$1)+2.466*SIN(P63*2*$J$1)-0.053*SIN(P63*4*$J$1)</f>
        <v>-0.88418137716822875</v>
      </c>
      <c r="R63" s="7"/>
    </row>
    <row r="64" spans="1:39">
      <c r="A64" s="167">
        <f t="shared" ref="A64:A78" si="30">J64</f>
        <v>763</v>
      </c>
      <c r="B64" s="81">
        <v>37289</v>
      </c>
      <c r="C64" s="4">
        <f t="shared" ref="C64:C78" si="31">DATEVALUE(B64)-DATEVALUE($B$63)+1</f>
        <v>33</v>
      </c>
      <c r="D64" s="28">
        <f t="shared" ref="D64:D78" si="32">ASIN(SIN(K64*$J$1)*SIN(P64*$J$1))/$J$1</f>
        <v>-16.7787237985372</v>
      </c>
      <c r="E64" s="29">
        <f t="shared" ref="E64:E78" si="33">Q64*4</f>
        <v>-13.717905902928857</v>
      </c>
      <c r="F64" s="3">
        <f t="shared" ref="F64:F78" si="34">-E64/2/360*3.1415926*$C$15</f>
        <v>0.11971131020038227</v>
      </c>
      <c r="G64" s="55">
        <f t="shared" si="26"/>
        <v>-0.53303151084335931</v>
      </c>
      <c r="H64" s="56">
        <f t="shared" ref="H64:H78" si="35">B64</f>
        <v>37289</v>
      </c>
      <c r="I64" s="42">
        <f t="shared" ref="I64:I70" si="36">I63</f>
        <v>-0.15</v>
      </c>
      <c r="J64" s="41">
        <f t="shared" ref="J64:J78" si="37">DATEVALUE($B64)-DATE(2000,1,1)</f>
        <v>763</v>
      </c>
      <c r="K64" s="35">
        <f t="shared" si="27"/>
        <v>23.439028432580425</v>
      </c>
      <c r="L64" s="35">
        <f t="shared" ref="L64:L79" si="38">36000.77/36525*J64+280.46</f>
        <v>1032.508939356605</v>
      </c>
      <c r="M64" s="8">
        <f t="shared" ref="M64:M78" si="39">35999.05/36525*J64+357.528</f>
        <v>1109.5410088980152</v>
      </c>
      <c r="N64" s="9">
        <f t="shared" si="28"/>
        <v>312.50893935660497</v>
      </c>
      <c r="O64" s="9">
        <f t="shared" si="29"/>
        <v>29.541008898015207</v>
      </c>
      <c r="P64" s="8">
        <f t="shared" ref="P64:P79" si="40">N64+1.915*SIN(O64*$J$1)+0.02*SIN(2*$J$1*O64)</f>
        <v>313.47028125299329</v>
      </c>
      <c r="Q64" s="9">
        <f t="shared" ref="Q64:Q79" si="41">-1.915*SIN(M64*$J$1)-0.02*SIN(M64*2*$J$1)+2.466*SIN(P64*2*$J$1)-0.053*SIN(P64*4*$J$1)</f>
        <v>-3.4294764757322143</v>
      </c>
      <c r="R64" s="7"/>
    </row>
    <row r="65" spans="1:18">
      <c r="A65" s="167">
        <f t="shared" si="30"/>
        <v>790</v>
      </c>
      <c r="B65" s="81">
        <v>37316</v>
      </c>
      <c r="C65" s="4">
        <f t="shared" si="31"/>
        <v>60</v>
      </c>
      <c r="D65" s="28">
        <f t="shared" si="32"/>
        <v>-7.5430236304308433</v>
      </c>
      <c r="E65" s="29">
        <f t="shared" si="33"/>
        <v>-12.374940920330559</v>
      </c>
      <c r="F65" s="3">
        <f t="shared" si="34"/>
        <v>0.10799173005763243</v>
      </c>
      <c r="G65" s="55">
        <f t="shared" si="26"/>
        <v>-0.23409353247469095</v>
      </c>
      <c r="H65" s="56">
        <f t="shared" si="35"/>
        <v>37316</v>
      </c>
      <c r="I65" s="42">
        <f t="shared" si="36"/>
        <v>-0.15</v>
      </c>
      <c r="J65" s="41">
        <f t="shared" si="37"/>
        <v>790</v>
      </c>
      <c r="K65" s="35">
        <f t="shared" si="27"/>
        <v>23.439018822724162</v>
      </c>
      <c r="L65" s="35">
        <f t="shared" si="38"/>
        <v>1059.1214182067076</v>
      </c>
      <c r="M65" s="8">
        <f t="shared" si="39"/>
        <v>1136.1522162902122</v>
      </c>
      <c r="N65" s="9">
        <f t="shared" si="28"/>
        <v>339.12141820670763</v>
      </c>
      <c r="O65" s="9">
        <f t="shared" si="29"/>
        <v>56.152216290212209</v>
      </c>
      <c r="P65" s="8">
        <f t="shared" si="40"/>
        <v>340.73036807200702</v>
      </c>
      <c r="Q65" s="9">
        <f t="shared" si="41"/>
        <v>-3.0937352300826397</v>
      </c>
      <c r="R65" s="7"/>
    </row>
    <row r="66" spans="1:18">
      <c r="A66" s="167">
        <f t="shared" si="30"/>
        <v>810</v>
      </c>
      <c r="B66" s="81">
        <v>37336</v>
      </c>
      <c r="C66" s="4">
        <f t="shared" si="31"/>
        <v>80</v>
      </c>
      <c r="D66" s="28">
        <f t="shared" si="32"/>
        <v>0.27877382880803792</v>
      </c>
      <c r="E66" s="29">
        <f t="shared" si="33"/>
        <v>-7.2350215468219243</v>
      </c>
      <c r="F66" s="3">
        <f t="shared" si="34"/>
        <v>6.3137472645378639E-2</v>
      </c>
      <c r="G66" s="55">
        <f t="shared" si="26"/>
        <v>8.6016175890805489E-3</v>
      </c>
      <c r="H66" s="56">
        <f t="shared" si="35"/>
        <v>37336</v>
      </c>
      <c r="I66" s="42">
        <f t="shared" si="36"/>
        <v>-0.15</v>
      </c>
      <c r="J66" s="41">
        <f t="shared" si="37"/>
        <v>810</v>
      </c>
      <c r="K66" s="35">
        <f t="shared" si="27"/>
        <v>23.439011704312115</v>
      </c>
      <c r="L66" s="35">
        <f t="shared" si="38"/>
        <v>1078.8343655030799</v>
      </c>
      <c r="M66" s="8">
        <f t="shared" si="39"/>
        <v>1155.864221765914</v>
      </c>
      <c r="N66" s="9">
        <f t="shared" si="28"/>
        <v>358.83436550307988</v>
      </c>
      <c r="O66" s="9">
        <f t="shared" si="29"/>
        <v>75.864221765913953</v>
      </c>
      <c r="P66" s="8">
        <f t="shared" si="40"/>
        <v>360.70085175211261</v>
      </c>
      <c r="Q66" s="9">
        <f t="shared" si="41"/>
        <v>-1.8087553867054811</v>
      </c>
      <c r="R66" s="7"/>
    </row>
    <row r="67" spans="1:18">
      <c r="A67" s="167">
        <f t="shared" si="30"/>
        <v>821</v>
      </c>
      <c r="B67" s="81">
        <v>37347</v>
      </c>
      <c r="C67" s="4">
        <f t="shared" si="31"/>
        <v>91</v>
      </c>
      <c r="D67" s="28">
        <f t="shared" si="32"/>
        <v>4.5839374477366368</v>
      </c>
      <c r="E67" s="29">
        <f t="shared" si="33"/>
        <v>-3.9270772509077672</v>
      </c>
      <c r="F67" s="3">
        <f t="shared" si="34"/>
        <v>3.4270213419667184E-2</v>
      </c>
      <c r="G67" s="55">
        <f t="shared" si="26"/>
        <v>0.14173965746864581</v>
      </c>
      <c r="H67" s="56">
        <f t="shared" si="35"/>
        <v>37347</v>
      </c>
      <c r="I67" s="42">
        <f t="shared" si="36"/>
        <v>-0.15</v>
      </c>
      <c r="J67" s="41">
        <f t="shared" si="37"/>
        <v>821</v>
      </c>
      <c r="K67" s="35">
        <f t="shared" si="27"/>
        <v>23.439007789185489</v>
      </c>
      <c r="L67" s="35">
        <f t="shared" si="38"/>
        <v>1089.6764865160847</v>
      </c>
      <c r="M67" s="8">
        <f t="shared" si="39"/>
        <v>1166.7058247775497</v>
      </c>
      <c r="N67" s="9">
        <f t="shared" si="28"/>
        <v>9.6764865160846512</v>
      </c>
      <c r="O67" s="9">
        <f t="shared" si="29"/>
        <v>86.705824777549651</v>
      </c>
      <c r="P67" s="8">
        <f t="shared" si="40"/>
        <v>11.590616995142904</v>
      </c>
      <c r="Q67" s="9">
        <f t="shared" si="41"/>
        <v>-0.98176931272694179</v>
      </c>
      <c r="R67" s="7"/>
    </row>
    <row r="68" spans="1:18">
      <c r="A68" s="167">
        <f t="shared" si="30"/>
        <v>851</v>
      </c>
      <c r="B68" s="81">
        <v>37377</v>
      </c>
      <c r="C68" s="4">
        <f t="shared" si="31"/>
        <v>121</v>
      </c>
      <c r="D68" s="28">
        <f t="shared" si="32"/>
        <v>15.110734712682955</v>
      </c>
      <c r="E68" s="29">
        <f t="shared" si="33"/>
        <v>2.9011442918658359</v>
      </c>
      <c r="F68" s="3">
        <f t="shared" si="34"/>
        <v>-2.5317259552383196E-2</v>
      </c>
      <c r="G68" s="55">
        <f t="shared" si="26"/>
        <v>0.47736000145908242</v>
      </c>
      <c r="H68" s="56">
        <f t="shared" si="35"/>
        <v>37377</v>
      </c>
      <c r="I68" s="42">
        <f t="shared" si="36"/>
        <v>-0.15</v>
      </c>
      <c r="J68" s="41">
        <f t="shared" si="37"/>
        <v>851</v>
      </c>
      <c r="K68" s="35">
        <f t="shared" si="27"/>
        <v>23.438997111567417</v>
      </c>
      <c r="L68" s="35">
        <f t="shared" si="38"/>
        <v>1119.2459074606434</v>
      </c>
      <c r="M68" s="8">
        <f t="shared" si="39"/>
        <v>1196.2738329911022</v>
      </c>
      <c r="N68" s="9">
        <f t="shared" si="28"/>
        <v>39.245907460643366</v>
      </c>
      <c r="O68" s="9">
        <f t="shared" si="29"/>
        <v>116.27383299110215</v>
      </c>
      <c r="P68" s="8">
        <f t="shared" si="40"/>
        <v>40.947189107359179</v>
      </c>
      <c r="Q68" s="9">
        <f t="shared" si="41"/>
        <v>0.72528607296645897</v>
      </c>
      <c r="R68" s="7"/>
    </row>
    <row r="69" spans="1:18">
      <c r="A69" s="167">
        <f t="shared" si="30"/>
        <v>882</v>
      </c>
      <c r="B69" s="81">
        <v>37408</v>
      </c>
      <c r="C69" s="4">
        <f t="shared" si="31"/>
        <v>152</v>
      </c>
      <c r="D69" s="28">
        <f t="shared" si="32"/>
        <v>22.068588550280939</v>
      </c>
      <c r="E69" s="29">
        <f t="shared" si="33"/>
        <v>2.2070852359338602</v>
      </c>
      <c r="F69" s="3">
        <f t="shared" si="34"/>
        <v>-1.9260451791052971E-2</v>
      </c>
      <c r="G69" s="55">
        <f t="shared" si="26"/>
        <v>0.71672387265422222</v>
      </c>
      <c r="H69" s="56">
        <f t="shared" si="35"/>
        <v>37408</v>
      </c>
      <c r="I69" s="42">
        <f t="shared" si="36"/>
        <v>-0.15</v>
      </c>
      <c r="J69" s="41">
        <f t="shared" si="37"/>
        <v>882</v>
      </c>
      <c r="K69" s="35">
        <f t="shared" si="27"/>
        <v>23.438986078028748</v>
      </c>
      <c r="L69" s="35">
        <f t="shared" si="38"/>
        <v>1149.8009757700204</v>
      </c>
      <c r="M69" s="8">
        <f t="shared" si="39"/>
        <v>1226.8274414784396</v>
      </c>
      <c r="N69" s="9">
        <f t="shared" si="28"/>
        <v>69.800975770020386</v>
      </c>
      <c r="O69" s="9">
        <f>IF(M69&gt;0,M69-FLOOR(M69,360),M69+CEILING(-M69,360))</f>
        <v>146.8274414784396</v>
      </c>
      <c r="P69" s="8">
        <f t="shared" si="40"/>
        <v>70.830472184521099</v>
      </c>
      <c r="Q69" s="9">
        <f t="shared" si="41"/>
        <v>0.55177130898346505</v>
      </c>
      <c r="R69" s="7"/>
    </row>
    <row r="70" spans="1:18">
      <c r="A70" s="167">
        <f t="shared" si="30"/>
        <v>902</v>
      </c>
      <c r="B70" s="81">
        <v>37428</v>
      </c>
      <c r="C70" s="4">
        <f t="shared" si="31"/>
        <v>172</v>
      </c>
      <c r="D70" s="28">
        <f t="shared" si="32"/>
        <v>23.438969739280981</v>
      </c>
      <c r="E70" s="29">
        <f t="shared" si="33"/>
        <v>-1.729113557405364</v>
      </c>
      <c r="F70" s="3">
        <f t="shared" si="34"/>
        <v>1.5089362101401018E-2</v>
      </c>
      <c r="G70" s="55">
        <f t="shared" si="26"/>
        <v>0.76644839252787578</v>
      </c>
      <c r="H70" s="56">
        <f t="shared" si="35"/>
        <v>37428</v>
      </c>
      <c r="I70" s="42">
        <f t="shared" si="36"/>
        <v>-0.15</v>
      </c>
      <c r="J70" s="41">
        <f t="shared" si="37"/>
        <v>902</v>
      </c>
      <c r="K70" s="35">
        <f t="shared" si="27"/>
        <v>23.438978959616701</v>
      </c>
      <c r="L70" s="35">
        <f t="shared" si="38"/>
        <v>1169.5139230663926</v>
      </c>
      <c r="M70" s="8">
        <f t="shared" si="39"/>
        <v>1246.5394469541411</v>
      </c>
      <c r="N70" s="9">
        <f t="shared" si="28"/>
        <v>89.513923066392636</v>
      </c>
      <c r="O70" s="9">
        <f t="shared" ref="O70:O79" si="42">IF(M70&gt;0,M70-FLOOR(M70,360),M70+CEILING(-M70,360))</f>
        <v>166.53944695414111</v>
      </c>
      <c r="P70" s="8">
        <f t="shared" si="40"/>
        <v>89.950633559325937</v>
      </c>
      <c r="Q70" s="9">
        <f t="shared" si="41"/>
        <v>-0.432278389351341</v>
      </c>
      <c r="R70" s="7"/>
    </row>
    <row r="71" spans="1:18">
      <c r="A71" s="167">
        <f t="shared" si="30"/>
        <v>912</v>
      </c>
      <c r="B71" s="81">
        <v>37438</v>
      </c>
      <c r="C71" s="4">
        <f t="shared" si="31"/>
        <v>182</v>
      </c>
      <c r="D71" s="28">
        <f t="shared" si="32"/>
        <v>23.099576227833481</v>
      </c>
      <c r="E71" s="29">
        <f t="shared" si="33"/>
        <v>-3.8095160546352176</v>
      </c>
      <c r="F71" s="3">
        <f t="shared" si="34"/>
        <v>3.3244298463397763E-2</v>
      </c>
      <c r="G71" s="55">
        <f t="shared" ref="G71:G78" si="43">TAN(D71*$J$1)*SIN(($K$18-$J$9))*$C$15/SIN($K$18)</f>
        <v>0.75403981108078588</v>
      </c>
      <c r="H71" s="56">
        <f t="shared" si="35"/>
        <v>37438</v>
      </c>
      <c r="I71" s="46">
        <v>0.15</v>
      </c>
      <c r="J71" s="41">
        <f t="shared" si="37"/>
        <v>912</v>
      </c>
      <c r="K71" s="35">
        <f t="shared" si="27"/>
        <v>23.438975400410676</v>
      </c>
      <c r="L71" s="35">
        <f t="shared" si="38"/>
        <v>1179.3703967145789</v>
      </c>
      <c r="M71" s="8">
        <f t="shared" si="39"/>
        <v>1256.3954496919919</v>
      </c>
      <c r="N71" s="9">
        <f t="shared" ref="N71:N79" si="44">IF(L71&gt;0,L71-FLOOR(L71,360),L71+CEILING(-L71,360))</f>
        <v>99.370396714578874</v>
      </c>
      <c r="O71" s="9">
        <f t="shared" si="42"/>
        <v>176.39544969199187</v>
      </c>
      <c r="P71" s="8">
        <f t="shared" si="40"/>
        <v>99.488282527883797</v>
      </c>
      <c r="Q71" s="9">
        <f t="shared" si="41"/>
        <v>-0.9523790136588044</v>
      </c>
      <c r="R71" s="7"/>
    </row>
    <row r="72" spans="1:18">
      <c r="A72" s="167">
        <f t="shared" si="30"/>
        <v>943</v>
      </c>
      <c r="B72" s="81">
        <v>37469</v>
      </c>
      <c r="C72" s="4">
        <f t="shared" si="31"/>
        <v>213</v>
      </c>
      <c r="D72" s="28">
        <f t="shared" si="32"/>
        <v>17.987191248733009</v>
      </c>
      <c r="E72" s="29">
        <f t="shared" si="33"/>
        <v>-6.332065439363042</v>
      </c>
      <c r="F72" s="3">
        <f t="shared" si="34"/>
        <v>5.5257694241718565E-2</v>
      </c>
      <c r="G72" s="55">
        <f t="shared" si="43"/>
        <v>0.57397492352771584</v>
      </c>
      <c r="H72" s="56">
        <f t="shared" si="35"/>
        <v>37469</v>
      </c>
      <c r="I72" s="42">
        <f t="shared" ref="I72:I78" si="45">I71</f>
        <v>0.15</v>
      </c>
      <c r="J72" s="41">
        <f t="shared" si="37"/>
        <v>943</v>
      </c>
      <c r="K72" s="35">
        <f t="shared" si="27"/>
        <v>23.438964366872003</v>
      </c>
      <c r="L72" s="35">
        <f t="shared" si="38"/>
        <v>1209.9254650239561</v>
      </c>
      <c r="M72" s="8">
        <f t="shared" si="39"/>
        <v>1286.9490581793293</v>
      </c>
      <c r="N72" s="9">
        <f t="shared" si="44"/>
        <v>129.92546502395612</v>
      </c>
      <c r="O72" s="9">
        <f t="shared" si="42"/>
        <v>206.94905817932931</v>
      </c>
      <c r="P72" s="8">
        <f t="shared" si="40"/>
        <v>129.07375002622885</v>
      </c>
      <c r="Q72" s="9">
        <f t="shared" si="41"/>
        <v>-1.5830163598407605</v>
      </c>
      <c r="R72" s="7"/>
    </row>
    <row r="73" spans="1:18">
      <c r="A73" s="167">
        <f t="shared" si="30"/>
        <v>974</v>
      </c>
      <c r="B73" s="81">
        <v>37500</v>
      </c>
      <c r="C73" s="4">
        <f t="shared" si="31"/>
        <v>244</v>
      </c>
      <c r="D73" s="28">
        <f t="shared" si="32"/>
        <v>8.2390404334191629</v>
      </c>
      <c r="E73" s="29">
        <f t="shared" si="33"/>
        <v>-3.0974942797341226E-2</v>
      </c>
      <c r="F73" s="3">
        <f t="shared" si="34"/>
        <v>2.7030736410430694E-4</v>
      </c>
      <c r="G73" s="55">
        <f t="shared" si="43"/>
        <v>0.25598192983973256</v>
      </c>
      <c r="H73" s="56">
        <f t="shared" si="35"/>
        <v>37500</v>
      </c>
      <c r="I73" s="42">
        <f t="shared" si="45"/>
        <v>0.15</v>
      </c>
      <c r="J73" s="41">
        <f t="shared" si="37"/>
        <v>974</v>
      </c>
      <c r="K73" s="35">
        <f t="shared" si="27"/>
        <v>23.438953333333334</v>
      </c>
      <c r="L73" s="35">
        <f t="shared" si="38"/>
        <v>1240.4805333333331</v>
      </c>
      <c r="M73" s="8">
        <f t="shared" si="39"/>
        <v>1317.5026666666668</v>
      </c>
      <c r="N73" s="9">
        <f t="shared" si="44"/>
        <v>160.48053333333314</v>
      </c>
      <c r="O73" s="9">
        <f t="shared" si="42"/>
        <v>237.50266666666676</v>
      </c>
      <c r="P73" s="8">
        <f t="shared" si="40"/>
        <v>158.88351619671255</v>
      </c>
      <c r="Q73" s="9">
        <f t="shared" si="41"/>
        <v>-7.7437356993353065E-3</v>
      </c>
      <c r="R73" s="7"/>
    </row>
    <row r="74" spans="1:18">
      <c r="A74" s="167">
        <f t="shared" si="30"/>
        <v>995</v>
      </c>
      <c r="B74" s="81">
        <v>37521</v>
      </c>
      <c r="C74" s="4">
        <f t="shared" si="31"/>
        <v>265</v>
      </c>
      <c r="D74" s="28">
        <f t="shared" si="32"/>
        <v>0.27342194351338306</v>
      </c>
      <c r="E74" s="29">
        <f t="shared" si="33"/>
        <v>7.2396130640470115</v>
      </c>
      <c r="F74" s="3">
        <f t="shared" si="34"/>
        <v>-6.3177541191315051E-2</v>
      </c>
      <c r="G74" s="55">
        <f t="shared" si="43"/>
        <v>8.4364816556499762E-3</v>
      </c>
      <c r="H74" s="56">
        <f t="shared" si="35"/>
        <v>37521</v>
      </c>
      <c r="I74" s="42">
        <f t="shared" si="45"/>
        <v>0.15</v>
      </c>
      <c r="J74" s="41">
        <f t="shared" si="37"/>
        <v>995</v>
      </c>
      <c r="K74" s="35">
        <f t="shared" si="27"/>
        <v>23.438945859000683</v>
      </c>
      <c r="L74" s="35">
        <f t="shared" si="38"/>
        <v>1261.1791279945242</v>
      </c>
      <c r="M74" s="8">
        <f t="shared" si="39"/>
        <v>1338.2002724161534</v>
      </c>
      <c r="N74" s="9">
        <f t="shared" si="44"/>
        <v>181.17912799452415</v>
      </c>
      <c r="O74" s="9">
        <f t="shared" si="42"/>
        <v>258.20027241615344</v>
      </c>
      <c r="P74" s="8">
        <f t="shared" si="40"/>
        <v>179.31260188950898</v>
      </c>
      <c r="Q74" s="9">
        <f t="shared" si="41"/>
        <v>1.8099032660117529</v>
      </c>
      <c r="R74" s="7"/>
    </row>
    <row r="75" spans="1:18">
      <c r="A75" s="167">
        <f t="shared" si="30"/>
        <v>1004</v>
      </c>
      <c r="B75" s="81">
        <v>37530</v>
      </c>
      <c r="C75" s="4">
        <f t="shared" si="31"/>
        <v>274</v>
      </c>
      <c r="D75" s="28">
        <f t="shared" si="32"/>
        <v>-3.2284900689164786</v>
      </c>
      <c r="E75" s="29">
        <f t="shared" si="33"/>
        <v>10.292762076215309</v>
      </c>
      <c r="F75" s="3">
        <f t="shared" si="34"/>
        <v>-8.9821292144996248E-2</v>
      </c>
      <c r="G75" s="55">
        <f t="shared" si="43"/>
        <v>-9.972042901330079E-2</v>
      </c>
      <c r="H75" s="56">
        <f t="shared" si="35"/>
        <v>37530</v>
      </c>
      <c r="I75" s="42">
        <f t="shared" si="45"/>
        <v>0.15</v>
      </c>
      <c r="J75" s="41">
        <f t="shared" si="37"/>
        <v>1004</v>
      </c>
      <c r="K75" s="35">
        <f t="shared" si="27"/>
        <v>23.438942655715262</v>
      </c>
      <c r="L75" s="35">
        <f t="shared" si="38"/>
        <v>1270.0499542778916</v>
      </c>
      <c r="M75" s="8">
        <f t="shared" si="39"/>
        <v>1347.070674880219</v>
      </c>
      <c r="N75" s="9">
        <f t="shared" si="44"/>
        <v>190.04995427789163</v>
      </c>
      <c r="O75" s="9">
        <f t="shared" si="42"/>
        <v>267.07067488021903</v>
      </c>
      <c r="P75" s="8">
        <f t="shared" si="40"/>
        <v>188.13949804017381</v>
      </c>
      <c r="Q75" s="9">
        <f t="shared" si="41"/>
        <v>2.5731905190538273</v>
      </c>
      <c r="R75" s="7"/>
    </row>
    <row r="76" spans="1:18">
      <c r="A76" s="167">
        <f t="shared" si="30"/>
        <v>1035</v>
      </c>
      <c r="B76" s="81">
        <v>37561</v>
      </c>
      <c r="C76" s="4">
        <f t="shared" si="31"/>
        <v>305</v>
      </c>
      <c r="D76" s="28">
        <f t="shared" si="32"/>
        <v>-14.462239926466959</v>
      </c>
      <c r="E76" s="29">
        <f t="shared" si="33"/>
        <v>16.405497459948663</v>
      </c>
      <c r="F76" s="3">
        <f t="shared" si="34"/>
        <v>-0.14316497060970421</v>
      </c>
      <c r="G76" s="55">
        <f t="shared" si="43"/>
        <v>-0.4559563236663815</v>
      </c>
      <c r="H76" s="56">
        <f t="shared" si="35"/>
        <v>37561</v>
      </c>
      <c r="I76" s="42">
        <f t="shared" si="45"/>
        <v>0.15</v>
      </c>
      <c r="J76" s="41">
        <f t="shared" si="37"/>
        <v>1035</v>
      </c>
      <c r="K76" s="35">
        <f t="shared" si="27"/>
        <v>23.43893162217659</v>
      </c>
      <c r="L76" s="35">
        <f t="shared" si="38"/>
        <v>1300.6050225872689</v>
      </c>
      <c r="M76" s="8">
        <f t="shared" si="39"/>
        <v>1377.6242833675565</v>
      </c>
      <c r="N76" s="9">
        <f t="shared" si="44"/>
        <v>220.60502258726888</v>
      </c>
      <c r="O76" s="9">
        <f t="shared" si="42"/>
        <v>297.62428336755647</v>
      </c>
      <c r="P76" s="8">
        <f t="shared" si="40"/>
        <v>218.89188625420451</v>
      </c>
      <c r="Q76" s="9">
        <f t="shared" si="41"/>
        <v>4.1013743649871657</v>
      </c>
      <c r="R76" s="7"/>
    </row>
    <row r="77" spans="1:18">
      <c r="A77" s="167">
        <f t="shared" si="30"/>
        <v>1065</v>
      </c>
      <c r="B77" s="81">
        <v>37591</v>
      </c>
      <c r="C77" s="4">
        <f t="shared" si="31"/>
        <v>335</v>
      </c>
      <c r="D77" s="28">
        <f t="shared" si="32"/>
        <v>-21.817154235870575</v>
      </c>
      <c r="E77" s="29">
        <f t="shared" si="33"/>
        <v>11.003752948459946</v>
      </c>
      <c r="F77" s="3">
        <f t="shared" si="34"/>
        <v>-9.6025857875305404E-2</v>
      </c>
      <c r="G77" s="55">
        <f t="shared" si="43"/>
        <v>-0.70770672544017332</v>
      </c>
      <c r="H77" s="56">
        <f t="shared" si="35"/>
        <v>37591</v>
      </c>
      <c r="I77" s="42">
        <f t="shared" si="45"/>
        <v>0.15</v>
      </c>
      <c r="J77" s="41">
        <f t="shared" si="37"/>
        <v>1065</v>
      </c>
      <c r="K77" s="35">
        <f t="shared" si="27"/>
        <v>23.438920944558522</v>
      </c>
      <c r="L77" s="35">
        <f t="shared" si="38"/>
        <v>1330.1744435318274</v>
      </c>
      <c r="M77" s="8">
        <f t="shared" si="39"/>
        <v>1407.192291581109</v>
      </c>
      <c r="N77" s="9">
        <f t="shared" si="44"/>
        <v>250.17444353182736</v>
      </c>
      <c r="O77" s="9">
        <f t="shared" si="42"/>
        <v>327.19229158110898</v>
      </c>
      <c r="P77" s="8">
        <f t="shared" si="40"/>
        <v>249.11863986018673</v>
      </c>
      <c r="Q77" s="9">
        <f t="shared" si="41"/>
        <v>2.7509382371149864</v>
      </c>
      <c r="R77" s="7"/>
    </row>
    <row r="78" spans="1:18">
      <c r="A78" s="167">
        <f t="shared" si="30"/>
        <v>1085</v>
      </c>
      <c r="B78" s="82">
        <v>37611</v>
      </c>
      <c r="C78" s="4">
        <f t="shared" si="31"/>
        <v>355</v>
      </c>
      <c r="D78" s="28">
        <f t="shared" si="32"/>
        <v>-23.437747056963104</v>
      </c>
      <c r="E78" s="29">
        <f t="shared" si="33"/>
        <v>1.9703160936736017</v>
      </c>
      <c r="F78" s="3">
        <f t="shared" si="34"/>
        <v>-1.7194251276516373E-2</v>
      </c>
      <c r="G78" s="54">
        <f t="shared" si="43"/>
        <v>-0.76640357612028964</v>
      </c>
      <c r="H78" s="57">
        <f t="shared" si="35"/>
        <v>37611</v>
      </c>
      <c r="I78" s="42">
        <f t="shared" si="45"/>
        <v>0.15</v>
      </c>
      <c r="J78" s="41">
        <f t="shared" si="37"/>
        <v>1085</v>
      </c>
      <c r="K78" s="36">
        <f t="shared" si="27"/>
        <v>23.438913826146475</v>
      </c>
      <c r="L78" s="36">
        <f t="shared" si="38"/>
        <v>1349.8873908281998</v>
      </c>
      <c r="M78" s="37">
        <f t="shared" si="39"/>
        <v>1426.9042970568105</v>
      </c>
      <c r="N78" s="38">
        <f>IF(L78&gt;0,L78-FLOOR(L78,360),L78+CEILING(-L78,360))</f>
        <v>269.88739082819984</v>
      </c>
      <c r="O78" s="9">
        <f t="shared" si="42"/>
        <v>346.90429705681049</v>
      </c>
      <c r="P78" s="8">
        <f t="shared" si="40"/>
        <v>269.44466603359336</v>
      </c>
      <c r="Q78" s="38">
        <f t="shared" si="41"/>
        <v>0.49257902341840043</v>
      </c>
      <c r="R78" s="7"/>
    </row>
    <row r="79" spans="1:18" ht="15.75" thickBot="1">
      <c r="B79" s="165"/>
      <c r="C79" s="275">
        <v>366</v>
      </c>
      <c r="D79" s="272">
        <f>D$63</f>
        <v>-22.991633987675449</v>
      </c>
      <c r="E79" s="273">
        <f>E$63</f>
        <v>-3.536725508672915</v>
      </c>
      <c r="F79" s="8">
        <f>F$63</f>
        <v>3.0863751906327962E-2</v>
      </c>
      <c r="G79" s="274">
        <f>G$63</f>
        <v>-0.75010650309605309</v>
      </c>
      <c r="H79" s="164"/>
      <c r="I79" s="39"/>
      <c r="J79" s="34">
        <f>DATEVALUE($D$20)-DATE(2000,1,1)</f>
        <v>5130</v>
      </c>
      <c r="K79" s="35">
        <f t="shared" si="27"/>
        <v>23.437474127310061</v>
      </c>
      <c r="L79" s="35">
        <f t="shared" si="38"/>
        <v>5336.8309815195062</v>
      </c>
      <c r="M79" s="8">
        <f>35999.05/36525*J79+357.528</f>
        <v>5413.6574045174539</v>
      </c>
      <c r="N79" s="9">
        <f t="shared" si="44"/>
        <v>296.83098151950617</v>
      </c>
      <c r="O79" s="9">
        <f t="shared" si="42"/>
        <v>13.65740451745387</v>
      </c>
      <c r="P79" s="8">
        <f t="shared" si="40"/>
        <v>297.29232086188586</v>
      </c>
      <c r="Q79" s="40">
        <f t="shared" si="41"/>
        <v>-2.521122784184183</v>
      </c>
      <c r="R79" s="7"/>
    </row>
    <row r="80" spans="1:18">
      <c r="B80" s="308" t="str">
        <f>IF($C$7,"EoT and Declination  -  ","Deklination und Zeitgleichung  -  ")</f>
        <v xml:space="preserve">EoT and Declination  -  </v>
      </c>
      <c r="C80" s="309"/>
      <c r="D80" s="309"/>
      <c r="E80" s="309"/>
      <c r="F80" s="312" t="str">
        <f>$T$23</f>
        <v xml:space="preserve">Calculation for </v>
      </c>
      <c r="G80" s="312"/>
      <c r="H80" s="304">
        <f>$U$23</f>
        <v>2013</v>
      </c>
      <c r="I80" s="304"/>
      <c r="J80" s="304"/>
      <c r="K80" s="304"/>
      <c r="L80" s="304"/>
      <c r="M80" s="304"/>
      <c r="N80" s="305"/>
      <c r="O80" s="9"/>
      <c r="P80" s="8"/>
      <c r="Q80" s="40"/>
      <c r="R80" s="7"/>
    </row>
    <row r="81" spans="2:18">
      <c r="B81" s="310"/>
      <c r="C81" s="311"/>
      <c r="D81" s="311"/>
      <c r="E81" s="311"/>
      <c r="F81" s="313"/>
      <c r="G81" s="313"/>
      <c r="H81" s="306"/>
      <c r="I81" s="306"/>
      <c r="J81" s="306"/>
      <c r="K81" s="306"/>
      <c r="L81" s="306"/>
      <c r="M81" s="306"/>
      <c r="N81" s="307"/>
      <c r="O81" s="9"/>
      <c r="P81" s="8"/>
      <c r="Q81" s="40"/>
      <c r="R81" s="7"/>
    </row>
    <row r="82" spans="2:18">
      <c r="B82" s="118" t="str">
        <f>$C$62</f>
        <v>Day (Date)</v>
      </c>
      <c r="C82" s="117">
        <f>$S25</f>
        <v>41275</v>
      </c>
      <c r="D82" s="111">
        <f>$S26</f>
        <v>41285</v>
      </c>
      <c r="E82" s="112">
        <f>$S27</f>
        <v>41295</v>
      </c>
      <c r="F82" s="113">
        <f>$S28</f>
        <v>41306</v>
      </c>
      <c r="G82" s="111">
        <f>$S29</f>
        <v>41316</v>
      </c>
      <c r="H82" s="112">
        <f>$S30</f>
        <v>41326</v>
      </c>
      <c r="I82" s="113">
        <f>$S31</f>
        <v>41334</v>
      </c>
      <c r="J82" s="111">
        <f>$S32</f>
        <v>41344</v>
      </c>
      <c r="K82" s="112">
        <f>$S33</f>
        <v>41354</v>
      </c>
      <c r="L82" s="113">
        <f>$S34</f>
        <v>41365</v>
      </c>
      <c r="M82" s="111">
        <f>$S35</f>
        <v>41375</v>
      </c>
      <c r="N82" s="119">
        <f>$S36</f>
        <v>41385</v>
      </c>
      <c r="O82" s="9"/>
      <c r="P82" s="8"/>
      <c r="Q82" s="40"/>
      <c r="R82" s="7"/>
    </row>
    <row r="83" spans="2:18">
      <c r="B83" s="118" t="str">
        <f>$D$62</f>
        <v>Declination</v>
      </c>
      <c r="C83" s="94">
        <f>T25</f>
        <v>-23.005773582321407</v>
      </c>
      <c r="D83" s="100">
        <f>T26</f>
        <v>-21.812820983298522</v>
      </c>
      <c r="E83" s="95">
        <f>T27</f>
        <v>-19.915228694018154</v>
      </c>
      <c r="F83" s="94">
        <f>T28</f>
        <v>-17.117957759780666</v>
      </c>
      <c r="G83" s="100">
        <f>T29</f>
        <v>-14.044293129837797</v>
      </c>
      <c r="H83" s="95">
        <f>T30</f>
        <v>-10.583007475517189</v>
      </c>
      <c r="I83" s="94">
        <f>T31</f>
        <v>-7.6121405656675369</v>
      </c>
      <c r="J83" s="100">
        <f>T32</f>
        <v>-3.7402901160639046</v>
      </c>
      <c r="K83" s="95">
        <f>T33</f>
        <v>0.20718685062565725</v>
      </c>
      <c r="L83" s="94">
        <f>T34</f>
        <v>4.514295297867065</v>
      </c>
      <c r="M83" s="100">
        <f>T35</f>
        <v>8.2906551297568942</v>
      </c>
      <c r="N83" s="96">
        <f>T36</f>
        <v>11.835718791832644</v>
      </c>
      <c r="O83" s="9"/>
      <c r="P83" s="8"/>
      <c r="Q83" s="40"/>
      <c r="R83" s="7"/>
    </row>
    <row r="84" spans="2:18">
      <c r="B84" s="120" t="str">
        <f>$E$62</f>
        <v xml:space="preserve"> EQT [min.]</v>
      </c>
      <c r="C84" s="116">
        <f>U25</f>
        <v>-3.4289869774418986</v>
      </c>
      <c r="D84" s="114">
        <f>U26</f>
        <v>-7.8102587161777173</v>
      </c>
      <c r="E84" s="115">
        <f>U27</f>
        <v>-11.232453393627591</v>
      </c>
      <c r="F84" s="116">
        <f>U28</f>
        <v>-13.548549563478849</v>
      </c>
      <c r="G84" s="114">
        <f>U29</f>
        <v>-14.233751957218884</v>
      </c>
      <c r="H84" s="115">
        <f>U30</f>
        <v>-13.647109608257185</v>
      </c>
      <c r="I84" s="116">
        <f>U31</f>
        <v>-12.39917110056019</v>
      </c>
      <c r="J84" s="114">
        <f>U32</f>
        <v>-10.101980182850079</v>
      </c>
      <c r="K84" s="115">
        <f>U33</f>
        <v>-7.2841583300115493</v>
      </c>
      <c r="L84" s="116">
        <f>U34</f>
        <v>-3.979769393993112</v>
      </c>
      <c r="M84" s="114">
        <f>U35</f>
        <v>-1.1433607809824879</v>
      </c>
      <c r="N84" s="121">
        <f>U36</f>
        <v>1.2232149123572587</v>
      </c>
      <c r="O84" s="9"/>
      <c r="P84" s="8"/>
      <c r="Q84" s="40"/>
      <c r="R84" s="7"/>
    </row>
    <row r="85" spans="2:18">
      <c r="B85" s="110"/>
      <c r="C85" s="7"/>
      <c r="D85" s="7"/>
      <c r="E85" s="7"/>
      <c r="F85" s="7"/>
      <c r="G85" s="7"/>
      <c r="H85" s="7"/>
      <c r="I85" s="7"/>
      <c r="J85" s="7"/>
      <c r="K85" s="7"/>
      <c r="L85" s="7"/>
      <c r="M85" s="7"/>
      <c r="N85" s="65"/>
      <c r="O85" s="9"/>
      <c r="P85" s="8"/>
      <c r="Q85" s="40"/>
      <c r="R85" s="7"/>
    </row>
    <row r="86" spans="2:18">
      <c r="B86" s="118" t="str">
        <f>B82</f>
        <v>Day (Date)</v>
      </c>
      <c r="C86" s="117">
        <f>$S37</f>
        <v>41395</v>
      </c>
      <c r="D86" s="111">
        <f>$S38</f>
        <v>41405</v>
      </c>
      <c r="E86" s="112">
        <f>$S39</f>
        <v>41415</v>
      </c>
      <c r="F86" s="113">
        <f>$S40</f>
        <v>41426</v>
      </c>
      <c r="G86" s="111">
        <f>$S41</f>
        <v>41436</v>
      </c>
      <c r="H86" s="112">
        <f>$S42</f>
        <v>41446</v>
      </c>
      <c r="I86" s="113">
        <f>$S43</f>
        <v>41456</v>
      </c>
      <c r="J86" s="111">
        <f>$S44</f>
        <v>41466</v>
      </c>
      <c r="K86" s="112">
        <f>$S45</f>
        <v>41476</v>
      </c>
      <c r="L86" s="113">
        <f>$S46</f>
        <v>41487</v>
      </c>
      <c r="M86" s="111">
        <f>$S47</f>
        <v>41497</v>
      </c>
      <c r="N86" s="119">
        <f>$S48</f>
        <v>41507</v>
      </c>
      <c r="O86" s="9"/>
      <c r="P86" s="8"/>
      <c r="Q86" s="40"/>
      <c r="R86" s="7"/>
    </row>
    <row r="87" spans="2:18">
      <c r="B87" s="118" t="str">
        <f>B83</f>
        <v>Declination</v>
      </c>
      <c r="C87" s="94">
        <f>$T37</f>
        <v>15.05638156710406</v>
      </c>
      <c r="D87" s="100">
        <f>$T38</f>
        <v>17.862726700758522</v>
      </c>
      <c r="E87" s="95">
        <f>T39</f>
        <v>20.170334027008334</v>
      </c>
      <c r="F87" s="94">
        <f>$T40</f>
        <v>22.043721288410179</v>
      </c>
      <c r="G87" s="100">
        <f>$T41</f>
        <v>23.078330473825844</v>
      </c>
      <c r="H87" s="95">
        <f>$T42</f>
        <v>23.437632581355025</v>
      </c>
      <c r="I87" s="94">
        <f>$T43</f>
        <v>23.110180753851164</v>
      </c>
      <c r="J87" s="100">
        <f>$T44</f>
        <v>22.11128794367195</v>
      </c>
      <c r="K87" s="95">
        <f>$T45</f>
        <v>20.480977595507181</v>
      </c>
      <c r="L87" s="94">
        <f>$T46</f>
        <v>18.03038029206709</v>
      </c>
      <c r="M87" s="100">
        <f>$T47</f>
        <v>15.285844612056914</v>
      </c>
      <c r="N87" s="96">
        <f>$T48</f>
        <v>12.134749138417925</v>
      </c>
      <c r="O87" s="9"/>
      <c r="P87" s="8"/>
      <c r="Q87" s="40"/>
      <c r="R87" s="7"/>
    </row>
    <row r="88" spans="2:18">
      <c r="B88" s="120" t="str">
        <f>B84</f>
        <v xml:space="preserve"> EQT [min.]</v>
      </c>
      <c r="C88" s="116">
        <f>U37</f>
        <v>2.8700696508811085</v>
      </c>
      <c r="D88" s="114">
        <f>$U38</f>
        <v>3.6272728222115367</v>
      </c>
      <c r="E88" s="115">
        <f>U39</f>
        <v>3.4351968808023741</v>
      </c>
      <c r="F88" s="116">
        <f>$U40</f>
        <v>2.2161906296617095</v>
      </c>
      <c r="G88" s="114">
        <f>$U41</f>
        <v>0.41772003944053299</v>
      </c>
      <c r="H88" s="115">
        <f>$U42</f>
        <v>-1.7115994972921671</v>
      </c>
      <c r="I88" s="116">
        <f>$U43</f>
        <v>-3.7967241644973555</v>
      </c>
      <c r="J88" s="114">
        <f>$U44</f>
        <v>-5.4654330914439413</v>
      </c>
      <c r="K88" s="115">
        <f>$U45</f>
        <v>-6.4067361706608041</v>
      </c>
      <c r="L88" s="116">
        <f>$U46</f>
        <v>-6.3614039658966863</v>
      </c>
      <c r="M88" s="114">
        <f>U47</f>
        <v>-5.2630491632105132</v>
      </c>
      <c r="N88" s="121">
        <f>$U48</f>
        <v>-3.222545045970691</v>
      </c>
      <c r="O88" s="9"/>
      <c r="P88" s="8"/>
      <c r="Q88" s="40"/>
      <c r="R88" s="7"/>
    </row>
    <row r="89" spans="2:18">
      <c r="B89" s="110"/>
      <c r="C89" s="7"/>
      <c r="D89" s="7"/>
      <c r="E89" s="7"/>
      <c r="F89" s="7"/>
      <c r="G89" s="7"/>
      <c r="H89" s="7"/>
      <c r="I89" s="7"/>
      <c r="J89" s="7"/>
      <c r="K89" s="7"/>
      <c r="L89" s="7"/>
      <c r="M89" s="7"/>
      <c r="N89" s="65"/>
      <c r="O89" s="9"/>
      <c r="P89" s="8"/>
      <c r="Q89" s="40"/>
      <c r="R89" s="7"/>
    </row>
    <row r="90" spans="2:18">
      <c r="B90" s="118" t="str">
        <f>B86</f>
        <v>Day (Date)</v>
      </c>
      <c r="C90" s="117">
        <f>$S49</f>
        <v>41518</v>
      </c>
      <c r="D90" s="111">
        <f>$S50</f>
        <v>41528</v>
      </c>
      <c r="E90" s="112">
        <f>$S51</f>
        <v>41538</v>
      </c>
      <c r="F90" s="113">
        <f>$S52</f>
        <v>41548</v>
      </c>
      <c r="G90" s="111">
        <f>S$53</f>
        <v>41558</v>
      </c>
      <c r="H90" s="112">
        <f>$S54</f>
        <v>41568</v>
      </c>
      <c r="I90" s="113">
        <f>$S55</f>
        <v>41579</v>
      </c>
      <c r="J90" s="111">
        <f>$S56</f>
        <v>41589</v>
      </c>
      <c r="K90" s="112">
        <f>$S57</f>
        <v>41599</v>
      </c>
      <c r="L90" s="113">
        <f>$S58</f>
        <v>41609</v>
      </c>
      <c r="M90" s="111">
        <f>$S59</f>
        <v>41619</v>
      </c>
      <c r="N90" s="119">
        <f>$S60</f>
        <v>41629</v>
      </c>
      <c r="O90" s="9"/>
      <c r="P90" s="8"/>
      <c r="Q90" s="40"/>
      <c r="R90" s="7"/>
    </row>
    <row r="91" spans="2:18">
      <c r="B91" s="118" t="str">
        <f>B87</f>
        <v>Declination</v>
      </c>
      <c r="C91" s="94">
        <f>$T49</f>
        <v>8.3027877148934319</v>
      </c>
      <c r="D91" s="100">
        <f>$T50</f>
        <v>4.5830732952182105</v>
      </c>
      <c r="E91" s="95">
        <f>$T51</f>
        <v>0.73174849583653812</v>
      </c>
      <c r="F91" s="94">
        <f>$T52</f>
        <v>-3.1587419195866189</v>
      </c>
      <c r="G91" s="100">
        <f>T$53</f>
        <v>-6.9924332136598597</v>
      </c>
      <c r="H91" s="95">
        <f>$T54</f>
        <v>-10.668513311486565</v>
      </c>
      <c r="I91" s="94">
        <f>$T55</f>
        <v>-14.403199248645491</v>
      </c>
      <c r="J91" s="100">
        <f>$T56</f>
        <v>-17.397176546428245</v>
      </c>
      <c r="K91" s="95">
        <f>$T57</f>
        <v>-19.893718314246449</v>
      </c>
      <c r="L91" s="94">
        <f>$T58</f>
        <v>-21.787439742405649</v>
      </c>
      <c r="M91" s="100">
        <f>$T59</f>
        <v>-22.988909264808527</v>
      </c>
      <c r="N91" s="96">
        <f>$T60</f>
        <v>-23.43565159121577</v>
      </c>
      <c r="O91" s="9"/>
      <c r="P91" s="8"/>
      <c r="Q91" s="40"/>
      <c r="R91" s="7"/>
    </row>
    <row r="92" spans="2:18" ht="15.75" thickBot="1">
      <c r="B92" s="122" t="str">
        <f>B88</f>
        <v xml:space="preserve"> EQT [min.]</v>
      </c>
      <c r="C92" s="97">
        <f>$U49</f>
        <v>-9.8611697922150632E-2</v>
      </c>
      <c r="D92" s="101">
        <f>$U50</f>
        <v>3.2660129708167638</v>
      </c>
      <c r="E92" s="98">
        <f>$U51</f>
        <v>6.8188191126088666</v>
      </c>
      <c r="F92" s="97">
        <f>$U52</f>
        <v>10.233283739901765</v>
      </c>
      <c r="G92" s="101">
        <f>U$53</f>
        <v>13.175066999232685</v>
      </c>
      <c r="H92" s="98">
        <f>$U54</f>
        <v>15.318775261550705</v>
      </c>
      <c r="I92" s="97">
        <f>$U55</f>
        <v>16.409515060939913</v>
      </c>
      <c r="J92" s="101">
        <f>$U56</f>
        <v>16.017455834376129</v>
      </c>
      <c r="K92" s="98">
        <f>$U57</f>
        <v>14.216870539175908</v>
      </c>
      <c r="L92" s="97">
        <f>$U58</f>
        <v>11.089498784250033</v>
      </c>
      <c r="M92" s="101">
        <f>$U59</f>
        <v>6.9012846826183809</v>
      </c>
      <c r="N92" s="99">
        <f>$U60</f>
        <v>2.0819949427257138</v>
      </c>
      <c r="O92" s="9"/>
      <c r="P92" s="8"/>
      <c r="Q92" s="40"/>
      <c r="R92" s="7"/>
    </row>
    <row r="93" spans="2:18">
      <c r="B93" s="123"/>
      <c r="C93" s="123"/>
      <c r="D93" s="123"/>
      <c r="E93" s="123"/>
      <c r="F93" s="123"/>
      <c r="G93" s="123"/>
      <c r="H93" s="123"/>
      <c r="I93" s="123"/>
      <c r="J93" s="123"/>
      <c r="K93" s="123"/>
      <c r="L93" s="123"/>
      <c r="M93" s="123"/>
      <c r="N93" s="123"/>
      <c r="O93" s="9"/>
      <c r="P93" s="8"/>
      <c r="Q93" s="40"/>
      <c r="R93" s="7"/>
    </row>
    <row r="94" spans="2:18" ht="15.75" thickBot="1">
      <c r="B94" s="10"/>
      <c r="C94" s="10"/>
      <c r="G94" s="24"/>
      <c r="H94" s="4"/>
      <c r="I94" s="3"/>
      <c r="J94" s="10"/>
      <c r="K94" s="10"/>
      <c r="R94" s="7"/>
    </row>
    <row r="95" spans="2:18">
      <c r="B95" s="61"/>
      <c r="C95" s="316" t="str">
        <f>IF($C$7,"Shadow Lengths at Noon","Schattenlänge zu Mittag")</f>
        <v>Shadow Lengths at Noon</v>
      </c>
      <c r="D95" s="316"/>
      <c r="E95" s="316"/>
      <c r="F95" s="315" t="str">
        <f>IF($C$7,"y-value of Shadow End at Noon","y-Wert des Schattens zu Mittag")</f>
        <v>y-value of Shadow End at Noon</v>
      </c>
      <c r="G95" s="316"/>
      <c r="H95" s="317"/>
      <c r="I95" s="9"/>
      <c r="J95" s="253"/>
      <c r="K95" s="8"/>
      <c r="L95" s="256" t="s">
        <v>49</v>
      </c>
      <c r="M95" s="257"/>
      <c r="N95" s="258"/>
    </row>
    <row r="96" spans="2:18" s="12" customFormat="1">
      <c r="B96" s="62" t="str">
        <f>IF($C$7,"Gnomon Height","Gnomonhöhe")</f>
        <v>Gnomon Height</v>
      </c>
      <c r="C96" s="58" t="str">
        <f>IF($C$7,"Summer","Sommer")</f>
        <v>Summer</v>
      </c>
      <c r="D96" s="58" t="str">
        <f>IF($C$7,"Equinox","Äquinox")</f>
        <v>Equinox</v>
      </c>
      <c r="E96" s="58" t="s">
        <v>4</v>
      </c>
      <c r="F96" s="59" t="str">
        <f>IF($C$7,"Summer","Sommer")</f>
        <v>Summer</v>
      </c>
      <c r="G96" s="58" t="str">
        <f>IF($C$7,"Equinox","Äquinox")</f>
        <v>Equinox</v>
      </c>
      <c r="H96" s="63" t="s">
        <v>4</v>
      </c>
      <c r="I96" s="254" t="s">
        <v>24</v>
      </c>
      <c r="J96" s="255">
        <f>$C$15</f>
        <v>2</v>
      </c>
      <c r="K96" s="255">
        <v>0</v>
      </c>
      <c r="L96" s="259" t="s">
        <v>48</v>
      </c>
      <c r="M96" s="40" t="s">
        <v>47</v>
      </c>
      <c r="N96" s="260" t="s">
        <v>46</v>
      </c>
    </row>
    <row r="97" spans="2:14">
      <c r="B97" s="64">
        <f>$C$17</f>
        <v>2</v>
      </c>
      <c r="C97" s="7">
        <f>$B97/TAN((90-$C$9+$D$19+23.44)*$J$1)*SIN($K$18)+$B97*COS($K$18)</f>
        <v>0.1552962188469631</v>
      </c>
      <c r="D97" s="7">
        <f>$B97/TAN((90-$C$9+$D$19)*$J$1)*SIN($K$18)+$B97*COS($K$18)</f>
        <v>1.0580518085880313</v>
      </c>
      <c r="E97" s="7">
        <f>$B97/TAN((90-$C$9+$D$19-23.44)*$J$1)*SIN($K$18)+$B97*COS($K$18)</f>
        <v>2.4981946814009439</v>
      </c>
      <c r="F97" s="60">
        <f>$C97-$G$78</f>
        <v>0.92169979496725274</v>
      </c>
      <c r="G97" s="7">
        <f>D97</f>
        <v>1.0580518085880313</v>
      </c>
      <c r="H97" s="65">
        <f>$E97+$G$78</f>
        <v>1.7317911052806543</v>
      </c>
      <c r="I97" s="254" t="s">
        <v>22</v>
      </c>
      <c r="J97" s="255">
        <f>-$C$15</f>
        <v>-2</v>
      </c>
      <c r="K97" s="255">
        <v>0</v>
      </c>
      <c r="L97" s="261">
        <v>23.44</v>
      </c>
      <c r="M97" s="40">
        <f>ACOS(SIN($L$97*$J$1)/COS($J$9))/$J$1</f>
        <v>63.254828372702733</v>
      </c>
      <c r="N97" s="262">
        <f>TAN($L97*$J$1)*COS($C$9*$J$1)*$C$15*TAN($M97*$J$1)</f>
        <v>1.5209995578564781</v>
      </c>
    </row>
    <row r="98" spans="2:14">
      <c r="B98" s="66">
        <v>1.6</v>
      </c>
      <c r="C98" s="7">
        <f>$B98/TAN((90-$C$9+$D$19+23.44)*$J$1)*SIN($K$18)+$B98*COS($K$18)</f>
        <v>0.12423697507757049</v>
      </c>
      <c r="D98" s="7">
        <f>$B98/TAN((90-$C$9+$D$19)*$J$1)*SIN($K$18)+$B98*COS($K$18)</f>
        <v>0.846441446870425</v>
      </c>
      <c r="E98" s="7">
        <f>$B98/TAN((90-$C$9+$D$19-23.44)*$J$1)*SIN($K$18)+$B98*COS($K$18)</f>
        <v>1.9985557451207554</v>
      </c>
      <c r="F98" s="60">
        <f>$C98-$G$78</f>
        <v>0.89064055119786012</v>
      </c>
      <c r="G98" s="7">
        <f>D98</f>
        <v>0.846441446870425</v>
      </c>
      <c r="H98" s="65">
        <f>$E98+$G$78</f>
        <v>1.2321521690004658</v>
      </c>
      <c r="I98" s="254"/>
      <c r="J98" s="255"/>
      <c r="K98" s="255"/>
      <c r="L98" s="261">
        <v>1E-4</v>
      </c>
      <c r="M98" s="40">
        <f>ACOS(SIN($L$98*$J$1)/COS($J$9))/DATA!$J$1</f>
        <v>89.999886868730783</v>
      </c>
      <c r="N98" s="262">
        <f>TAN($L98*$J$1)*COS($C$9*$J$1)*$C$15*TAN($M98*$J$1)</f>
        <v>1.5626606519361048</v>
      </c>
    </row>
    <row r="99" spans="2:14">
      <c r="B99" s="66">
        <v>1.8</v>
      </c>
      <c r="C99" s="7">
        <f>$B99/TAN((90-$C$9+$D$19+23.44)*$J$1)*SIN($K$18)+$B99*COS($K$18)</f>
        <v>0.13976659696226681</v>
      </c>
      <c r="D99" s="7">
        <f>$B99/TAN((90-$C$9+$D$19)*$J$1)*SIN($K$18)+$B99*COS($K$18)</f>
        <v>0.95224662772922808</v>
      </c>
      <c r="E99" s="7">
        <f>$B99/TAN((90-$C$9+$D$19-23.44)*$J$1)*SIN($K$18)+$B99*COS($K$18)</f>
        <v>2.2483752132608497</v>
      </c>
      <c r="F99" s="60">
        <f>$C99-$G$78</f>
        <v>0.90617017308255643</v>
      </c>
      <c r="G99" s="7">
        <f>D99</f>
        <v>0.95224662772922808</v>
      </c>
      <c r="H99" s="65">
        <f>$E99+$G$78</f>
        <v>1.48197163714056</v>
      </c>
      <c r="I99" s="254" t="s">
        <v>23</v>
      </c>
      <c r="J99" s="255">
        <v>0</v>
      </c>
      <c r="K99" s="255">
        <f>$C$16</f>
        <v>0.9352425867154075</v>
      </c>
      <c r="L99" s="263"/>
      <c r="M99" s="40"/>
      <c r="N99" s="260"/>
    </row>
    <row r="100" spans="2:14" ht="15.75" thickBot="1">
      <c r="B100" s="67">
        <v>2</v>
      </c>
      <c r="C100" s="195">
        <f>$B100/TAN((90-$C$9+$D$19+23.44)*$J$1)*SIN($K$18)+$B100*COS($K$18)</f>
        <v>0.1552962188469631</v>
      </c>
      <c r="D100" s="196">
        <f>$B100/TAN((90-$C$9+$D$19)*$J$1)*SIN($K$18)+$B100*COS($K$18)</f>
        <v>1.0580518085880313</v>
      </c>
      <c r="E100" s="197">
        <f>$B100/TAN((90-$C$9+$D$19-23.44)*$J$1)*SIN($K$18)+$B100*COS($K$18)</f>
        <v>2.4981946814009439</v>
      </c>
      <c r="F100" s="68">
        <f>$C100-$G$78</f>
        <v>0.92169979496725274</v>
      </c>
      <c r="G100" s="45">
        <f>D100</f>
        <v>1.0580518085880313</v>
      </c>
      <c r="H100" s="69">
        <f>$E100+$G$78</f>
        <v>1.7317911052806543</v>
      </c>
      <c r="I100" s="254" t="s">
        <v>22</v>
      </c>
      <c r="J100" s="255">
        <v>0</v>
      </c>
      <c r="K100" s="255">
        <f>-$C$16</f>
        <v>-0.9352425867154075</v>
      </c>
      <c r="L100" s="263" t="s">
        <v>45</v>
      </c>
      <c r="M100" s="40"/>
      <c r="N100" s="260">
        <f>N98-N97</f>
        <v>4.1661094079626704E-2</v>
      </c>
    </row>
    <row r="101" spans="2:14">
      <c r="I101" s="9"/>
      <c r="J101" s="181"/>
      <c r="K101" s="181"/>
      <c r="L101" s="263"/>
      <c r="M101" s="40" t="s">
        <v>44</v>
      </c>
      <c r="N101" s="260">
        <f>(N97+N98)/2</f>
        <v>1.5418301048962915</v>
      </c>
    </row>
    <row r="102" spans="2:14">
      <c r="I102" s="9"/>
      <c r="J102" s="181"/>
      <c r="K102" s="181"/>
      <c r="L102" s="263" t="s">
        <v>43</v>
      </c>
      <c r="M102" s="40"/>
      <c r="N102" s="260"/>
    </row>
    <row r="103" spans="2:14">
      <c r="I103" s="9"/>
      <c r="J103" s="181"/>
      <c r="K103" s="181"/>
      <c r="L103" s="263" t="s">
        <v>42</v>
      </c>
      <c r="M103" s="40">
        <v>10</v>
      </c>
      <c r="N103" s="260"/>
    </row>
    <row r="104" spans="2:14">
      <c r="B104" s="183" t="str">
        <f>IF($C$7,"Azimuth for Rise/Set :","Azimut für Auf- / Untergang :")</f>
        <v>Azimuth for Rise/Set :</v>
      </c>
      <c r="C104" s="105"/>
      <c r="D104" s="106" t="s">
        <v>17</v>
      </c>
      <c r="E104" s="105"/>
      <c r="F104" s="105"/>
      <c r="G104" s="293" t="s">
        <v>10</v>
      </c>
      <c r="H104" s="294"/>
      <c r="I104" s="9"/>
      <c r="J104" s="181"/>
      <c r="K104" s="181"/>
      <c r="L104" s="263" t="s">
        <v>41</v>
      </c>
      <c r="M104" s="40">
        <v>31</v>
      </c>
      <c r="N104" s="260"/>
    </row>
    <row r="105" spans="2:14">
      <c r="B105" s="301" t="str">
        <f>IF($C$7,"Rise/Set Marks for Declination","Auf-/Untergang für Deklination")</f>
        <v>Rise/Set Marks for Declination</v>
      </c>
      <c r="C105" s="302"/>
      <c r="D105" s="184">
        <f>$D$21</f>
        <v>-23.44</v>
      </c>
      <c r="E105" s="293"/>
      <c r="F105" s="293"/>
      <c r="G105" s="105">
        <v>0</v>
      </c>
      <c r="H105" s="185">
        <f>TAN(D105*$J$1)*SIN(($K$18-$J$9))*$C$15/SIN($K$18)</f>
        <v>-0.76648615652492069</v>
      </c>
      <c r="I105" s="9"/>
      <c r="J105" s="181">
        <f>$I$78</f>
        <v>0.15</v>
      </c>
      <c r="K105" s="181">
        <f>$G$78</f>
        <v>-0.76640357612028964</v>
      </c>
      <c r="L105" s="263" t="s">
        <v>40</v>
      </c>
      <c r="M105" s="40">
        <v>30</v>
      </c>
      <c r="N105" s="260"/>
    </row>
    <row r="106" spans="2:14">
      <c r="B106" s="60" t="str">
        <f>IF($C$7,"Azimuth (from North)","Azimut (von Norden)")</f>
        <v>Azimuth (from North)</v>
      </c>
      <c r="C106" s="7"/>
      <c r="D106" s="7">
        <f>ACOS(SIN($D$105*$J$1)/COS($C$9*$J$1))/$J$1</f>
        <v>116.74517162729727</v>
      </c>
      <c r="E106" s="314" t="str">
        <f>IF($C$7,"SunsetMark","Untergangspunkt")</f>
        <v>SunsetMark</v>
      </c>
      <c r="F106" s="314"/>
      <c r="G106" s="7">
        <f>$G$21</f>
        <v>1.5209995578564786</v>
      </c>
      <c r="H106" s="107">
        <v>0</v>
      </c>
      <c r="I106" s="9"/>
      <c r="J106" s="181">
        <f>$I$63</f>
        <v>-0.15</v>
      </c>
      <c r="K106" s="181">
        <f>$G$78</f>
        <v>-0.76640357612028964</v>
      </c>
      <c r="L106" s="263" t="s">
        <v>39</v>
      </c>
      <c r="M106" s="40">
        <v>21</v>
      </c>
      <c r="N106" s="260"/>
    </row>
    <row r="107" spans="2:14">
      <c r="B107" s="60" t="str">
        <f>IF($C$7,"Angle with horiz. East/West-direction","Winkel zur horiz. O/W-Richtung")</f>
        <v>Angle with horiz. East/West-direction</v>
      </c>
      <c r="C107" s="7"/>
      <c r="D107" s="7">
        <f>90-D106</f>
        <v>-26.745171627297267</v>
      </c>
      <c r="E107" s="314"/>
      <c r="F107" s="314"/>
      <c r="G107" s="7">
        <v>0</v>
      </c>
      <c r="H107" s="107">
        <f>-H105</f>
        <v>0.76648615652492069</v>
      </c>
      <c r="I107" s="9"/>
      <c r="J107" s="181">
        <f>$I$63</f>
        <v>-0.15</v>
      </c>
      <c r="K107" s="181">
        <f>-$G$78</f>
        <v>0.76640357612028964</v>
      </c>
      <c r="L107" s="263" t="s">
        <v>38</v>
      </c>
      <c r="M107" s="40">
        <v>10</v>
      </c>
      <c r="N107" s="260"/>
    </row>
    <row r="108" spans="2:14">
      <c r="B108" s="60" t="str">
        <f>IF($C$7,"SeasonMarker on E/W-axis","Auf-/ Untergangspunkt (x-Achse)")</f>
        <v>SeasonMarker on E/W-axis</v>
      </c>
      <c r="C108" s="7"/>
      <c r="D108" s="7">
        <f>$D$109*COS($D$19*$J$1)/TAN(D107*$J$1)</f>
        <v>1.5209995578564786</v>
      </c>
      <c r="E108" s="314" t="str">
        <f>IF($C$7,"SunriseMark","Aufgangspunkt")</f>
        <v>SunriseMark</v>
      </c>
      <c r="F108" s="314"/>
      <c r="G108" s="7">
        <f>-$G$21</f>
        <v>-1.5209995578564786</v>
      </c>
      <c r="H108" s="107">
        <v>0</v>
      </c>
      <c r="I108" s="9"/>
      <c r="J108" s="181">
        <f>$I$78</f>
        <v>0.15</v>
      </c>
      <c r="K108" s="181">
        <f>-$G$78</f>
        <v>0.76640357612028964</v>
      </c>
      <c r="L108" s="263" t="s">
        <v>37</v>
      </c>
      <c r="M108" s="40">
        <v>30.5</v>
      </c>
      <c r="N108" s="260"/>
    </row>
    <row r="109" spans="2:14">
      <c r="B109" s="108" t="str">
        <f>IF($C$7,"Date Point on y-Axis","Datumspunkt auf y-Achse")</f>
        <v>Date Point on y-Axis</v>
      </c>
      <c r="C109" s="89"/>
      <c r="D109" s="89">
        <f>$C$15*TAN($D$21*$J$1)*SIN(($K$18-$J$9))/SIN($K$18)</f>
        <v>-0.76648615652492069</v>
      </c>
      <c r="E109" s="303"/>
      <c r="F109" s="303"/>
      <c r="G109" s="89">
        <v>0</v>
      </c>
      <c r="H109" s="109">
        <f>$H$105</f>
        <v>-0.76648615652492069</v>
      </c>
      <c r="I109" s="9"/>
      <c r="J109" s="181">
        <f>$I$78</f>
        <v>0.15</v>
      </c>
      <c r="K109" s="181">
        <f>$G$78</f>
        <v>-0.76640357612028964</v>
      </c>
      <c r="L109" s="263" t="s">
        <v>36</v>
      </c>
      <c r="M109" s="40">
        <v>30.5</v>
      </c>
      <c r="N109" s="260"/>
    </row>
    <row r="110" spans="2:14" ht="15.75" thickBot="1">
      <c r="B110" s="194" t="str">
        <f>IF(D19&gt;0,IF($C$7,"The shadow of the gnomon tip ends at rise / set on this line !","Der Schatten der Gnomonspitze ist bei Auf-/Untergang auf dieser Linie (bei inkl. Ebene).")," ")</f>
        <v xml:space="preserve"> </v>
      </c>
      <c r="C110" s="194"/>
      <c r="D110" s="194"/>
      <c r="E110" s="194"/>
      <c r="L110" s="264" t="s">
        <v>35</v>
      </c>
      <c r="M110" s="265">
        <v>21</v>
      </c>
      <c r="N110" s="266"/>
    </row>
    <row r="111" spans="2:14">
      <c r="B111" s="194" t="str">
        <f>IF($C$7,"Shadow ends at :","Schattengrenze bei :")</f>
        <v>Shadow ends at :</v>
      </c>
      <c r="C111" s="194"/>
      <c r="D111" s="194">
        <f>IF($D$19&lt;&gt;0,$G$17+$C$17*SIN($D$18*$J$1)/SIN($D$19*$J$1),100)</f>
        <v>100</v>
      </c>
      <c r="E111" s="194">
        <v>-4</v>
      </c>
    </row>
    <row r="112" spans="2:14">
      <c r="B112" s="194"/>
      <c r="C112" s="194"/>
      <c r="D112" s="194">
        <f>D111</f>
        <v>100</v>
      </c>
      <c r="E112" s="194">
        <v>4</v>
      </c>
    </row>
  </sheetData>
  <mergeCells count="44">
    <mergeCell ref="A8:A23"/>
    <mergeCell ref="J61:J62"/>
    <mergeCell ref="I61:I62"/>
    <mergeCell ref="B24:B25"/>
    <mergeCell ref="C24:C25"/>
    <mergeCell ref="D24:D25"/>
    <mergeCell ref="E20:F20"/>
    <mergeCell ref="E21:F21"/>
    <mergeCell ref="A24:A25"/>
    <mergeCell ref="B21:C21"/>
    <mergeCell ref="F22:H23"/>
    <mergeCell ref="D59:F59"/>
    <mergeCell ref="H24:H25"/>
    <mergeCell ref="D60:G60"/>
    <mergeCell ref="E24:F25"/>
    <mergeCell ref="G24:G25"/>
    <mergeCell ref="E16:F16"/>
    <mergeCell ref="E17:F17"/>
    <mergeCell ref="B4:D4"/>
    <mergeCell ref="E1:H4"/>
    <mergeCell ref="E5:H5"/>
    <mergeCell ref="B5:D5"/>
    <mergeCell ref="C23:D23"/>
    <mergeCell ref="E15:F15"/>
    <mergeCell ref="B105:C105"/>
    <mergeCell ref="E109:F109"/>
    <mergeCell ref="H80:N81"/>
    <mergeCell ref="B80:E81"/>
    <mergeCell ref="F80:G81"/>
    <mergeCell ref="E106:F106"/>
    <mergeCell ref="E105:F105"/>
    <mergeCell ref="E107:F107"/>
    <mergeCell ref="E108:F108"/>
    <mergeCell ref="F95:H95"/>
    <mergeCell ref="C95:E95"/>
    <mergeCell ref="I22:L22"/>
    <mergeCell ref="I23:L23"/>
    <mergeCell ref="B18:C18"/>
    <mergeCell ref="AJ22:AP22"/>
    <mergeCell ref="AJ23:AP23"/>
    <mergeCell ref="G104:H104"/>
    <mergeCell ref="K25:M25"/>
    <mergeCell ref="I24:I25"/>
    <mergeCell ref="J24:J25"/>
  </mergeCells>
  <phoneticPr fontId="0" type="noConversion"/>
  <printOptions horizontalCentered="1"/>
  <pageMargins left="0.39370078740157483" right="0.39370078740157483" top="0.78740157480314965" bottom="0.39370078740157483" header="0.51181102362204722" footer="0.51181102362204722"/>
  <pageSetup scale="46" orientation="portrait" horizontalDpi="300" verticalDpi="300" r:id="rId1"/>
  <headerFooter alignWithMargins="0">
    <oddHeader>&amp;F</oddHeader>
  </headerFooter>
  <drawing r:id="rId2"/>
  <legacyDrawing r:id="rId3"/>
  <controls>
    <control shapeId="43025" r:id="rId4" name="CommandButton1"/>
    <control shapeId="43026" r:id="rId5" name="Control 18"/>
    <control shapeId="43027" r:id="rId6" name="Control 19"/>
  </controls>
</worksheet>
</file>

<file path=xl/worksheets/sheet2.xml><?xml version="1.0" encoding="utf-8"?>
<worksheet xmlns="http://schemas.openxmlformats.org/spreadsheetml/2006/main" xmlns:r="http://schemas.openxmlformats.org/officeDocument/2006/relationships">
  <sheetPr codeName="Tabelle2">
    <pageSetUpPr fitToPage="1"/>
  </sheetPr>
  <dimension ref="A1:G26"/>
  <sheetViews>
    <sheetView workbookViewId="0">
      <selection activeCell="D28" sqref="D28"/>
    </sheetView>
  </sheetViews>
  <sheetFormatPr baseColWidth="10" defaultRowHeight="15"/>
  <cols>
    <col min="1" max="1" width="1.77734375" customWidth="1"/>
    <col min="2" max="2" width="4" customWidth="1"/>
    <col min="3" max="3" width="5.6640625" customWidth="1"/>
    <col min="4" max="4" width="5.44140625" customWidth="1"/>
    <col min="5" max="5" width="5.33203125" customWidth="1"/>
    <col min="6" max="6" width="5.77734375" customWidth="1"/>
    <col min="7" max="7" width="5.5546875" customWidth="1"/>
    <col min="8" max="8" width="6.77734375" customWidth="1"/>
    <col min="9" max="9" width="6.33203125" customWidth="1"/>
    <col min="10" max="10" width="7.109375" customWidth="1"/>
    <col min="11" max="11" width="7.33203125" customWidth="1"/>
    <col min="12" max="12" width="6.21875" customWidth="1"/>
    <col min="13" max="13" width="6.33203125" customWidth="1"/>
  </cols>
  <sheetData>
    <row r="1" spans="1:7" ht="19.149999999999999" customHeight="1">
      <c r="A1" s="239"/>
      <c r="B1" s="218"/>
      <c r="C1" s="70"/>
      <c r="D1" s="70"/>
      <c r="E1" s="70"/>
      <c r="F1" s="70"/>
      <c r="G1" s="70"/>
    </row>
    <row r="2" spans="1:7" ht="11.45" customHeight="1">
      <c r="A2" s="240"/>
      <c r="B2" s="219"/>
      <c r="C2" s="70"/>
      <c r="D2" s="70"/>
      <c r="E2" s="70"/>
      <c r="F2" s="70"/>
      <c r="G2" s="70"/>
    </row>
    <row r="3" spans="1:7" ht="13.15" customHeight="1">
      <c r="A3" s="240"/>
      <c r="B3" s="219"/>
      <c r="C3" s="70"/>
      <c r="D3" s="70"/>
      <c r="E3" s="70"/>
      <c r="F3" s="70"/>
      <c r="G3" s="70"/>
    </row>
    <row r="4" spans="1:7">
      <c r="A4" s="240"/>
      <c r="B4" s="219"/>
      <c r="C4" s="70"/>
      <c r="D4" s="70"/>
      <c r="E4" s="70"/>
      <c r="F4" s="70"/>
      <c r="G4" s="70"/>
    </row>
    <row r="5" spans="1:7">
      <c r="A5" s="240"/>
      <c r="B5" s="219"/>
      <c r="C5" s="70"/>
      <c r="D5" s="70"/>
      <c r="E5" s="70"/>
      <c r="F5" s="70"/>
      <c r="G5" s="70"/>
    </row>
    <row r="6" spans="1:7">
      <c r="A6" s="240"/>
      <c r="B6" s="219"/>
      <c r="C6" s="70"/>
      <c r="D6" s="70"/>
      <c r="E6" s="70"/>
      <c r="F6" s="70"/>
      <c r="G6" s="70"/>
    </row>
    <row r="7" spans="1:7">
      <c r="A7" s="240"/>
      <c r="B7" s="219"/>
      <c r="C7" s="70"/>
      <c r="D7" s="70"/>
      <c r="E7" s="70"/>
      <c r="F7" s="70"/>
      <c r="G7" s="70"/>
    </row>
    <row r="8" spans="1:7">
      <c r="A8" s="240"/>
      <c r="B8" s="219"/>
      <c r="C8" s="70"/>
      <c r="D8" s="70"/>
      <c r="E8" s="70"/>
      <c r="F8" s="70"/>
      <c r="G8" s="70"/>
    </row>
    <row r="9" spans="1:7">
      <c r="A9" s="240"/>
      <c r="B9" s="219"/>
      <c r="C9" s="70"/>
      <c r="D9" s="70"/>
      <c r="E9" s="70"/>
      <c r="F9" s="70"/>
      <c r="G9" s="70"/>
    </row>
    <row r="10" spans="1:7">
      <c r="A10" s="240"/>
      <c r="B10" s="219"/>
      <c r="C10" s="70"/>
      <c r="D10" s="70"/>
      <c r="E10" s="70"/>
      <c r="F10" s="70"/>
      <c r="G10" s="70"/>
    </row>
    <row r="11" spans="1:7">
      <c r="A11" s="240"/>
      <c r="B11" s="219"/>
      <c r="C11" s="70"/>
      <c r="D11" s="70"/>
      <c r="E11" s="70"/>
      <c r="F11" s="70"/>
      <c r="G11" s="70"/>
    </row>
    <row r="12" spans="1:7">
      <c r="A12" s="240"/>
      <c r="B12" s="219"/>
      <c r="C12" s="70"/>
      <c r="D12" s="70"/>
      <c r="E12" s="70"/>
      <c r="F12" s="70"/>
      <c r="G12" s="70"/>
    </row>
    <row r="13" spans="1:7">
      <c r="A13" s="240"/>
      <c r="B13" s="219"/>
      <c r="C13" s="70"/>
      <c r="D13" s="70"/>
      <c r="E13" s="70"/>
      <c r="F13" s="70"/>
      <c r="G13" s="70"/>
    </row>
    <row r="14" spans="1:7">
      <c r="A14" s="240"/>
      <c r="B14" s="219"/>
      <c r="C14" s="70"/>
      <c r="D14" s="70"/>
      <c r="E14" s="70"/>
      <c r="F14" s="70"/>
      <c r="G14" s="70"/>
    </row>
    <row r="15" spans="1:7">
      <c r="A15" s="240"/>
      <c r="B15" s="219"/>
      <c r="C15" s="70"/>
      <c r="D15" s="70"/>
      <c r="E15" s="70"/>
      <c r="F15" s="70"/>
      <c r="G15" s="70"/>
    </row>
    <row r="16" spans="1:7">
      <c r="A16" s="240"/>
      <c r="B16" s="219"/>
      <c r="C16" s="70"/>
      <c r="D16" s="70"/>
      <c r="E16" s="70"/>
      <c r="F16" s="70"/>
      <c r="G16" s="70"/>
    </row>
    <row r="17" spans="1:7">
      <c r="A17" s="240"/>
      <c r="B17" s="219"/>
      <c r="C17" s="70"/>
      <c r="D17" s="70"/>
      <c r="E17" s="70"/>
      <c r="F17" s="70"/>
      <c r="G17" s="70"/>
    </row>
    <row r="18" spans="1:7">
      <c r="A18" s="240"/>
      <c r="B18" s="219"/>
      <c r="C18" s="70"/>
      <c r="D18" s="70"/>
      <c r="E18" s="70"/>
      <c r="F18" s="70"/>
      <c r="G18" s="70"/>
    </row>
    <row r="19" spans="1:7">
      <c r="A19" s="240"/>
      <c r="B19" s="219"/>
      <c r="C19" s="70"/>
      <c r="D19" s="70"/>
      <c r="E19" s="70"/>
      <c r="F19" s="70"/>
      <c r="G19" s="70"/>
    </row>
    <row r="20" spans="1:7">
      <c r="A20" s="240"/>
      <c r="B20" s="220"/>
      <c r="C20" s="70"/>
      <c r="D20" s="70"/>
      <c r="E20" s="70"/>
      <c r="F20" s="70"/>
      <c r="G20" s="70"/>
    </row>
    <row r="21" spans="1:7">
      <c r="A21" s="240"/>
      <c r="B21" s="70"/>
      <c r="C21" s="70"/>
      <c r="D21" s="70"/>
      <c r="E21" s="70"/>
      <c r="F21" s="70"/>
      <c r="G21" s="70"/>
    </row>
    <row r="22" spans="1:7">
      <c r="A22" s="241"/>
      <c r="B22" s="30"/>
      <c r="C22" s="30"/>
      <c r="D22" s="30"/>
      <c r="E22" s="30"/>
      <c r="F22" s="30"/>
      <c r="G22" s="30"/>
    </row>
    <row r="23" spans="1:7">
      <c r="A23" s="242"/>
      <c r="B23" s="30"/>
      <c r="C23" s="30"/>
      <c r="D23" s="30"/>
      <c r="E23" s="30"/>
      <c r="F23" s="30"/>
      <c r="G23" s="30"/>
    </row>
    <row r="24" spans="1:7">
      <c r="A24" s="30"/>
      <c r="B24" s="30"/>
      <c r="C24" s="30"/>
      <c r="D24" s="30"/>
      <c r="E24" s="30"/>
      <c r="F24" s="30"/>
      <c r="G24" s="30"/>
    </row>
    <row r="25" spans="1:7">
      <c r="A25" s="30"/>
      <c r="B25" s="30"/>
      <c r="C25" s="30"/>
      <c r="D25" s="30"/>
      <c r="E25" s="30"/>
      <c r="F25" s="30"/>
      <c r="G25" s="30"/>
    </row>
    <row r="26" spans="1:7">
      <c r="A26" s="30"/>
      <c r="B26" s="30"/>
      <c r="C26" s="30"/>
      <c r="D26" s="30"/>
      <c r="E26" s="30"/>
      <c r="F26" s="30"/>
      <c r="G26" s="30"/>
    </row>
  </sheetData>
  <sheetProtection sheet="1" objects="1" scenarios="1"/>
  <phoneticPr fontId="0" type="noConversion"/>
  <printOptions horizontalCentered="1"/>
  <pageMargins left="0.39370078740157483" right="0.39370078740157483" top="0.98425196850393704" bottom="0.98425196850393704" header="0.51181102362204722" footer="0.51181102362204722"/>
  <pageSetup paperSize="9" scale="88" orientation="portrait" blackAndWhite="1" cellComments="asDisplayed"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Tabelle3">
    <pageSetUpPr fitToPage="1"/>
  </sheetPr>
  <dimension ref="A1:B20"/>
  <sheetViews>
    <sheetView workbookViewId="0"/>
  </sheetViews>
  <sheetFormatPr baseColWidth="10" defaultRowHeight="15"/>
  <cols>
    <col min="1" max="1" width="1" customWidth="1"/>
    <col min="2" max="2" width="2.77734375" bestFit="1" customWidth="1"/>
    <col min="3" max="3" width="4.21875" customWidth="1"/>
    <col min="4" max="5" width="5.77734375" customWidth="1"/>
    <col min="6" max="6" width="6.44140625" customWidth="1"/>
    <col min="7" max="7" width="5.33203125" customWidth="1"/>
    <col min="8" max="8" width="6.44140625" customWidth="1"/>
  </cols>
  <sheetData>
    <row r="1" spans="1:2" ht="15.6" customHeight="1">
      <c r="A1" s="237" t="s">
        <v>60</v>
      </c>
      <c r="B1" s="76" t="s">
        <v>18</v>
      </c>
    </row>
    <row r="2" spans="1:2">
      <c r="A2" s="238"/>
    </row>
    <row r="3" spans="1:2">
      <c r="A3" s="238"/>
    </row>
    <row r="4" spans="1:2">
      <c r="A4" s="238"/>
    </row>
    <row r="5" spans="1:2">
      <c r="A5" s="238"/>
    </row>
    <row r="6" spans="1:2">
      <c r="A6" s="238"/>
    </row>
    <row r="7" spans="1:2">
      <c r="A7" s="238"/>
    </row>
    <row r="8" spans="1:2">
      <c r="A8" s="238"/>
    </row>
    <row r="9" spans="1:2">
      <c r="A9" s="238"/>
    </row>
    <row r="10" spans="1:2">
      <c r="A10" s="238"/>
    </row>
    <row r="11" spans="1:2">
      <c r="A11" s="238"/>
    </row>
    <row r="12" spans="1:2">
      <c r="A12" s="238"/>
    </row>
    <row r="13" spans="1:2">
      <c r="A13" s="238"/>
    </row>
    <row r="14" spans="1:2">
      <c r="A14" s="238"/>
    </row>
    <row r="15" spans="1:2">
      <c r="A15" s="238"/>
    </row>
    <row r="16" spans="1:2">
      <c r="A16" s="238"/>
    </row>
    <row r="17" spans="1:1">
      <c r="A17" s="238"/>
    </row>
    <row r="18" spans="1:1">
      <c r="A18" s="238"/>
    </row>
    <row r="19" spans="1:1">
      <c r="A19" s="238"/>
    </row>
    <row r="20" spans="1:1">
      <c r="A20" s="238"/>
    </row>
  </sheetData>
  <sheetProtection sheet="1" objects="1" scenarios="1"/>
  <phoneticPr fontId="0" type="noConversion"/>
  <printOptions horizontalCentered="1"/>
  <pageMargins left="0.78740157480314965" right="0.78740157480314965" top="0.98425196850393704" bottom="0.98425196850393704" header="0.51181102362204722" footer="0.51181102362204722"/>
  <pageSetup paperSize="9" scale="82" orientation="portrait" blackAndWhite="1" cellComments="asDisplayed"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Tabelle4">
    <pageSetUpPr fitToPage="1"/>
  </sheetPr>
  <dimension ref="A1:M35"/>
  <sheetViews>
    <sheetView zoomScale="75" workbookViewId="0">
      <selection activeCell="C4" sqref="C4"/>
    </sheetView>
  </sheetViews>
  <sheetFormatPr baseColWidth="10" defaultColWidth="8.6640625" defaultRowHeight="12.75"/>
  <cols>
    <col min="1" max="1" width="15.109375" style="135" customWidth="1"/>
    <col min="2" max="2" width="8.109375" style="135" customWidth="1"/>
    <col min="3" max="3" width="7.44140625" style="135" customWidth="1"/>
    <col min="4" max="4" width="7.21875" style="135" customWidth="1"/>
    <col min="5" max="5" width="6.77734375" style="135" customWidth="1"/>
    <col min="6" max="6" width="9.21875" style="135" customWidth="1"/>
    <col min="7" max="7" width="9.109375" style="135" customWidth="1"/>
    <col min="8" max="8" width="7.44140625" style="135" customWidth="1"/>
    <col min="9" max="10" width="8.6640625" style="135" customWidth="1"/>
    <col min="11" max="11" width="8.44140625" style="135" customWidth="1"/>
    <col min="12" max="12" width="8.77734375" style="135" customWidth="1"/>
    <col min="13" max="13" width="7.6640625" style="135" customWidth="1"/>
    <col min="14" max="16384" width="8.6640625" style="135"/>
  </cols>
  <sheetData>
    <row r="1" spans="1:13" ht="40.15" customHeight="1" thickBot="1">
      <c r="A1" s="133">
        <f>180/PI()</f>
        <v>57.295779513082323</v>
      </c>
      <c r="B1" s="133">
        <f>PI()/180</f>
        <v>1.7453292519943295E-2</v>
      </c>
      <c r="C1" s="371" t="str">
        <f>IF(DATA!$C$7,"Error of Approximation with Fixed SunriseMarker","Fehler (in Grad) bei Approximation durch fixen Auf/Untergangspunkt ")</f>
        <v>Error of Approximation with Fixed SunriseMarker</v>
      </c>
      <c r="D1" s="371"/>
      <c r="E1" s="371"/>
      <c r="F1" s="371"/>
      <c r="G1" s="371"/>
      <c r="H1" s="371"/>
      <c r="I1" s="371"/>
      <c r="J1" s="371"/>
      <c r="K1" s="371"/>
    </row>
    <row r="2" spans="1:13" ht="16.149999999999999" customHeight="1" thickBot="1">
      <c r="A2" s="376" t="str">
        <f>IF(DATA!$C$7,"Values for Error Calculation","Werte für Fehlerrechnung")</f>
        <v>Values for Error Calculation</v>
      </c>
      <c r="B2" s="377"/>
      <c r="C2" s="217"/>
      <c r="D2" s="217"/>
      <c r="E2" s="217"/>
      <c r="F2" s="217"/>
      <c r="G2" s="217"/>
      <c r="H2" s="217"/>
      <c r="I2" s="217"/>
      <c r="J2" s="217"/>
    </row>
    <row r="3" spans="1:13" ht="17.45" customHeight="1" thickBot="1">
      <c r="A3" s="161" t="str">
        <f>DATA!$B$18</f>
        <v>Gnomon Inclination =</v>
      </c>
      <c r="B3" s="155">
        <v>90</v>
      </c>
      <c r="C3" s="134">
        <f>B3*$B$1</f>
        <v>1.5707963267948966</v>
      </c>
      <c r="E3" s="133"/>
    </row>
    <row r="4" spans="1:13" ht="19.149999999999999" customHeight="1" thickBot="1">
      <c r="A4" s="160" t="str">
        <f>DATA!$B$9</f>
        <v>Latitude =</v>
      </c>
      <c r="B4" s="153">
        <v>48</v>
      </c>
      <c r="C4" s="134">
        <f>B4*$B$1</f>
        <v>0.83775804095727824</v>
      </c>
      <c r="E4" s="133"/>
    </row>
    <row r="5" spans="1:13" ht="18" customHeight="1" thickBot="1">
      <c r="A5" s="161" t="str">
        <f>DATA!$B$15</f>
        <v>E/W-SemiAxis =</v>
      </c>
      <c r="B5" s="154">
        <v>2</v>
      </c>
      <c r="C5" s="134">
        <f>B5*$B$1</f>
        <v>3.4906585039886591E-2</v>
      </c>
      <c r="E5" s="133"/>
    </row>
    <row r="6" spans="1:13" ht="28.15" customHeight="1" thickBot="1">
      <c r="A6" s="162" t="str">
        <f>DATA!$B$21</f>
        <v>Rise/Set Marks for Declination</v>
      </c>
      <c r="B6" s="155">
        <v>20.2</v>
      </c>
      <c r="C6" s="149">
        <f>B6*$B$1</f>
        <v>0.35255650890285456</v>
      </c>
      <c r="D6" s="150" t="s">
        <v>48</v>
      </c>
      <c r="E6" s="151"/>
      <c r="F6" s="152" t="s">
        <v>50</v>
      </c>
      <c r="G6" s="188"/>
      <c r="H6" s="152"/>
      <c r="I6" s="216" t="s">
        <v>57</v>
      </c>
      <c r="J6" s="216" t="s">
        <v>58</v>
      </c>
      <c r="K6" s="221" t="s">
        <v>59</v>
      </c>
      <c r="L6" s="270" t="str">
        <f>IF(DATA!$C$7,"Error[deg]","Fehler in Grad")</f>
        <v>Error[deg]</v>
      </c>
      <c r="M6" s="150" t="s">
        <v>48</v>
      </c>
    </row>
    <row r="7" spans="1:13" ht="15" customHeight="1">
      <c r="A7" s="380" t="str">
        <f>DATA!$B$19</f>
        <v>Dial Plane - Inclination =</v>
      </c>
      <c r="B7" s="372">
        <v>0</v>
      </c>
      <c r="C7" s="149">
        <f>B7*$B$1</f>
        <v>0</v>
      </c>
      <c r="D7" s="137"/>
      <c r="E7" s="138"/>
      <c r="F7" s="139"/>
      <c r="G7" s="139"/>
      <c r="H7" s="139"/>
      <c r="L7" s="269"/>
      <c r="M7" s="137"/>
    </row>
    <row r="8" spans="1:13" ht="13.5" thickBot="1">
      <c r="A8" s="381"/>
      <c r="B8" s="373"/>
      <c r="C8" s="149"/>
      <c r="D8" s="140">
        <f>M8</f>
        <v>1E-3</v>
      </c>
      <c r="E8" s="134">
        <f>D8*$B$1</f>
        <v>1.7453292519943296E-5</v>
      </c>
      <c r="F8" s="141">
        <f t="shared" ref="F8:F20" si="0">ACOS(SIN(E8)/COS($C$4))*$A$1</f>
        <v>89.998505523450049</v>
      </c>
      <c r="G8" s="143"/>
      <c r="H8" s="142"/>
      <c r="I8" s="135">
        <f t="shared" ref="I8:I20" si="1">(J8*K8-TAN($C$6)*TAN($C$9))/($K8+$J8*TAN($C$9)*TAN($C$6))</f>
        <v>2.4948349552609426E-6</v>
      </c>
      <c r="J8" s="135">
        <f t="shared" ref="J8:J20" si="2">TAN(RADIANS($F8))</f>
        <v>38338.359676299267</v>
      </c>
      <c r="K8" s="135">
        <f>TAN($E8)</f>
        <v>1.7453292521715489E-5</v>
      </c>
      <c r="L8" s="141">
        <f>ATAN(I8)*$A$1</f>
        <v>1.4294351351786498E-4</v>
      </c>
      <c r="M8" s="243">
        <v>1E-3</v>
      </c>
    </row>
    <row r="9" spans="1:13">
      <c r="A9" s="186" t="s">
        <v>51</v>
      </c>
      <c r="B9" s="187">
        <f>ACOS(SIN(C6)/COS(C4))*$A$1</f>
        <v>58.933000512977586</v>
      </c>
      <c r="C9" s="149">
        <f>B9*$B$1</f>
        <v>1.0285748970309661</v>
      </c>
      <c r="D9" s="140">
        <f t="shared" ref="D9:D20" si="3">M9</f>
        <v>2</v>
      </c>
      <c r="E9" s="134">
        <f t="shared" ref="E9:E20" si="4">D9*$B$1</f>
        <v>3.4906585039886591E-2</v>
      </c>
      <c r="F9" s="141">
        <f t="shared" si="0"/>
        <v>87.010297328005421</v>
      </c>
      <c r="G9" s="143"/>
      <c r="H9" s="142"/>
      <c r="I9" s="135">
        <f t="shared" si="1"/>
        <v>4.9376578517799832E-3</v>
      </c>
      <c r="J9" s="135">
        <f t="shared" si="2"/>
        <v>19.146977242198993</v>
      </c>
      <c r="K9" s="135">
        <f t="shared" ref="K9:K20" si="5">TAN($E9)</f>
        <v>3.492076949174773E-2</v>
      </c>
      <c r="L9" s="141">
        <f t="shared" ref="L9:L20" si="6">ATAN(I9)*$A$1</f>
        <v>0.28290465648587532</v>
      </c>
      <c r="M9" s="243">
        <v>2</v>
      </c>
    </row>
    <row r="10" spans="1:13">
      <c r="A10" s="133"/>
      <c r="B10" s="222"/>
      <c r="C10" s="134"/>
      <c r="D10" s="140">
        <f t="shared" si="3"/>
        <v>4</v>
      </c>
      <c r="E10" s="134">
        <f t="shared" si="4"/>
        <v>6.9813170079773182E-2</v>
      </c>
      <c r="F10" s="141">
        <f t="shared" si="0"/>
        <v>84.016076164549048</v>
      </c>
      <c r="G10" s="143"/>
      <c r="H10" s="142"/>
      <c r="I10" s="135">
        <f t="shared" si="1"/>
        <v>9.5642139872795292E-3</v>
      </c>
      <c r="J10" s="135">
        <f t="shared" si="2"/>
        <v>9.5401129353584775</v>
      </c>
      <c r="K10" s="135">
        <f t="shared" si="5"/>
        <v>6.9926811943510414E-2</v>
      </c>
      <c r="L10" s="141">
        <f t="shared" si="6"/>
        <v>0.54797238779536583</v>
      </c>
      <c r="M10" s="243">
        <v>4</v>
      </c>
    </row>
    <row r="11" spans="1:13">
      <c r="A11" s="133"/>
      <c r="B11" s="222"/>
      <c r="C11" s="134"/>
      <c r="D11" s="140">
        <f t="shared" si="3"/>
        <v>6</v>
      </c>
      <c r="E11" s="134">
        <f t="shared" si="4"/>
        <v>0.10471975511965978</v>
      </c>
      <c r="F11" s="141">
        <f t="shared" si="0"/>
        <v>81.012711381180978</v>
      </c>
      <c r="G11" s="143"/>
      <c r="H11" s="142"/>
      <c r="I11" s="135">
        <f t="shared" si="1"/>
        <v>1.3573307136743418E-2</v>
      </c>
      <c r="J11" s="135">
        <f t="shared" si="2"/>
        <v>6.3228300125129282</v>
      </c>
      <c r="K11" s="135">
        <f t="shared" si="5"/>
        <v>0.10510423526567647</v>
      </c>
      <c r="L11" s="141">
        <f t="shared" si="6"/>
        <v>0.77764545889891612</v>
      </c>
      <c r="M11" s="243">
        <v>6</v>
      </c>
    </row>
    <row r="12" spans="1:13">
      <c r="A12" s="378"/>
      <c r="B12" s="379"/>
      <c r="C12" s="134"/>
      <c r="D12" s="140">
        <f t="shared" si="3"/>
        <v>8</v>
      </c>
      <c r="E12" s="134">
        <f t="shared" si="4"/>
        <v>0.13962634015954636</v>
      </c>
      <c r="F12" s="141">
        <f t="shared" si="0"/>
        <v>77.995358124225618</v>
      </c>
      <c r="G12" s="143"/>
      <c r="H12" s="142"/>
      <c r="I12" s="135">
        <f t="shared" si="1"/>
        <v>1.6667534991207961E-2</v>
      </c>
      <c r="J12" s="135">
        <f t="shared" si="2"/>
        <v>4.7027566359470514</v>
      </c>
      <c r="K12" s="135">
        <f t="shared" si="5"/>
        <v>0.14054083470239145</v>
      </c>
      <c r="L12" s="141">
        <f t="shared" si="6"/>
        <v>0.95489099138695632</v>
      </c>
      <c r="M12" s="243">
        <v>8</v>
      </c>
    </row>
    <row r="13" spans="1:13" ht="20.45" customHeight="1">
      <c r="A13" s="378"/>
      <c r="B13" s="379"/>
      <c r="C13" s="134"/>
      <c r="D13" s="140">
        <f t="shared" si="3"/>
        <v>10</v>
      </c>
      <c r="E13" s="134">
        <f t="shared" si="4"/>
        <v>0.17453292519943295</v>
      </c>
      <c r="F13" s="141">
        <f t="shared" si="0"/>
        <v>74.958825061627451</v>
      </c>
      <c r="G13" s="143"/>
      <c r="H13" s="142"/>
      <c r="I13" s="135">
        <f t="shared" si="1"/>
        <v>1.8561653652072137E-2</v>
      </c>
      <c r="J13" s="135">
        <f t="shared" si="2"/>
        <v>3.7213515233935928</v>
      </c>
      <c r="K13" s="135">
        <f t="shared" si="5"/>
        <v>0.17632698070846498</v>
      </c>
      <c r="L13" s="141">
        <f t="shared" si="6"/>
        <v>1.0633823021299447</v>
      </c>
      <c r="M13" s="243">
        <v>10</v>
      </c>
    </row>
    <row r="14" spans="1:13" ht="13.5" thickBot="1">
      <c r="C14" s="134"/>
      <c r="D14" s="140">
        <f t="shared" si="3"/>
        <v>12</v>
      </c>
      <c r="E14" s="134">
        <f t="shared" si="4"/>
        <v>0.20943951023931956</v>
      </c>
      <c r="F14" s="141">
        <f t="shared" si="0"/>
        <v>71.897425074871833</v>
      </c>
      <c r="G14" s="143"/>
      <c r="H14" s="142"/>
      <c r="I14" s="135">
        <f t="shared" si="1"/>
        <v>1.8984301257647999E-2</v>
      </c>
      <c r="J14" s="135">
        <f t="shared" si="2"/>
        <v>3.0590382977286028</v>
      </c>
      <c r="K14" s="135">
        <f t="shared" si="5"/>
        <v>0.21255656167002213</v>
      </c>
      <c r="L14" s="141">
        <f t="shared" si="6"/>
        <v>1.0875896945083365</v>
      </c>
      <c r="M14" s="243">
        <v>12</v>
      </c>
    </row>
    <row r="15" spans="1:13" ht="13.5" thickBot="1">
      <c r="A15" s="374" t="str">
        <f>IF(DATA!$C$7,"Values in tabsheet 'DATA'","Werte aus Tabelle 'DATA'")</f>
        <v>Values in tabsheet 'DATA'</v>
      </c>
      <c r="B15" s="375"/>
      <c r="C15" s="134"/>
      <c r="D15" s="140">
        <f t="shared" si="3"/>
        <v>14</v>
      </c>
      <c r="E15" s="134">
        <f t="shared" si="4"/>
        <v>0.24434609527920614</v>
      </c>
      <c r="F15" s="141">
        <f t="shared" si="0"/>
        <v>68.804791566495737</v>
      </c>
      <c r="G15" s="143"/>
      <c r="H15" s="142"/>
      <c r="I15" s="135">
        <f t="shared" si="1"/>
        <v>1.7677826829107849E-2</v>
      </c>
      <c r="J15" s="135">
        <f t="shared" si="2"/>
        <v>2.5787935509414481</v>
      </c>
      <c r="K15" s="135">
        <f t="shared" si="5"/>
        <v>0.24932800284318068</v>
      </c>
      <c r="L15" s="141">
        <f t="shared" si="6"/>
        <v>1.0127593794150602</v>
      </c>
      <c r="M15" s="243">
        <v>14</v>
      </c>
    </row>
    <row r="16" spans="1:13" ht="15.75" thickBot="1">
      <c r="A16" s="136" t="str">
        <f>DATA!$B$18</f>
        <v>Gnomon Inclination =</v>
      </c>
      <c r="B16" s="148">
        <f>DATA!$D$18</f>
        <v>90</v>
      </c>
      <c r="C16" s="134"/>
      <c r="D16" s="140">
        <f t="shared" si="3"/>
        <v>16</v>
      </c>
      <c r="E16" s="134">
        <f t="shared" si="4"/>
        <v>0.27925268031909273</v>
      </c>
      <c r="F16" s="141">
        <f t="shared" si="0"/>
        <v>65.673643691429362</v>
      </c>
      <c r="G16" s="143"/>
      <c r="H16" s="142"/>
      <c r="I16" s="135">
        <f t="shared" si="1"/>
        <v>1.4395813342654655E-2</v>
      </c>
      <c r="J16" s="135">
        <f t="shared" si="2"/>
        <v>2.2120408732449626</v>
      </c>
      <c r="K16" s="135">
        <f t="shared" si="5"/>
        <v>0.28674538575880792</v>
      </c>
      <c r="L16" s="141">
        <f t="shared" si="6"/>
        <v>0.82476237590904844</v>
      </c>
      <c r="M16" s="243">
        <v>16</v>
      </c>
    </row>
    <row r="17" spans="1:13" ht="15.75" thickBot="1">
      <c r="A17" s="156" t="str">
        <f>DATA!$B$9</f>
        <v>Latitude =</v>
      </c>
      <c r="B17" s="157">
        <f>DATA!$C$9</f>
        <v>27.88</v>
      </c>
      <c r="C17" s="134"/>
      <c r="D17" s="140">
        <f t="shared" si="3"/>
        <v>18</v>
      </c>
      <c r="E17" s="134">
        <f t="shared" si="4"/>
        <v>0.31415926535897931</v>
      </c>
      <c r="F17" s="141">
        <f t="shared" si="0"/>
        <v>62.495475832741654</v>
      </c>
      <c r="G17" s="143"/>
      <c r="H17" s="142"/>
      <c r="I17" s="135">
        <f t="shared" si="1"/>
        <v>8.8978233453449913E-3</v>
      </c>
      <c r="J17" s="135">
        <f t="shared" si="2"/>
        <v>1.9206118395570639</v>
      </c>
      <c r="K17" s="135">
        <f t="shared" si="5"/>
        <v>0.32491969623290629</v>
      </c>
      <c r="L17" s="141">
        <f t="shared" si="6"/>
        <v>0.50979427114029263</v>
      </c>
      <c r="M17" s="243">
        <v>18</v>
      </c>
    </row>
    <row r="18" spans="1:13" ht="15.75" thickBot="1">
      <c r="A18" s="136" t="str">
        <f>DATA!$B$15</f>
        <v>E/W-SemiAxis =</v>
      </c>
      <c r="B18" s="147">
        <f>DATA!$C$15</f>
        <v>2</v>
      </c>
      <c r="C18" s="134"/>
      <c r="D18" s="140">
        <f t="shared" si="3"/>
        <v>20</v>
      </c>
      <c r="E18" s="134">
        <f t="shared" si="4"/>
        <v>0.3490658503988659</v>
      </c>
      <c r="F18" s="141">
        <f t="shared" si="0"/>
        <v>59.260133310357922</v>
      </c>
      <c r="G18" s="143"/>
      <c r="H18" s="142"/>
      <c r="I18" s="135">
        <f t="shared" si="1"/>
        <v>9.4070775297020034E-4</v>
      </c>
      <c r="J18" s="135">
        <f t="shared" si="2"/>
        <v>1.6815256148211559</v>
      </c>
      <c r="K18" s="135">
        <f t="shared" si="5"/>
        <v>0.36397023426620234</v>
      </c>
      <c r="L18" s="141">
        <f t="shared" si="6"/>
        <v>5.3898568101592166E-2</v>
      </c>
      <c r="M18" s="243">
        <v>20</v>
      </c>
    </row>
    <row r="19" spans="1:13" ht="31.15" customHeight="1" thickBot="1">
      <c r="A19" s="146" t="str">
        <f>IF(DATA!$C$7,"Declination for SunriseMarker","Deklination für Auf-/ Untergangspunkt")</f>
        <v>Declination for SunriseMarker</v>
      </c>
      <c r="B19" s="148">
        <f>DATA!D21</f>
        <v>-23.44</v>
      </c>
      <c r="C19" s="134"/>
      <c r="D19" s="140">
        <f t="shared" si="3"/>
        <v>22</v>
      </c>
      <c r="E19" s="134">
        <f t="shared" si="4"/>
        <v>0.38397243543875248</v>
      </c>
      <c r="F19" s="141">
        <f t="shared" si="0"/>
        <v>55.955213406371968</v>
      </c>
      <c r="G19" s="143"/>
      <c r="H19" s="142"/>
      <c r="I19" s="135">
        <f t="shared" si="1"/>
        <v>-9.734594164331983E-3</v>
      </c>
      <c r="J19" s="135">
        <f t="shared" si="2"/>
        <v>1.4800640798215676</v>
      </c>
      <c r="K19" s="135">
        <f t="shared" si="5"/>
        <v>0.40402622583515679</v>
      </c>
      <c r="L19" s="141">
        <f t="shared" si="6"/>
        <v>-0.55773354395855657</v>
      </c>
      <c r="M19" s="243">
        <v>22</v>
      </c>
    </row>
    <row r="20" spans="1:13" ht="14.45" customHeight="1">
      <c r="A20" s="382" t="str">
        <f>$A$7</f>
        <v>Dial Plane - Inclination =</v>
      </c>
      <c r="B20" s="360">
        <f>DATA!$D$19</f>
        <v>0</v>
      </c>
      <c r="C20" s="134"/>
      <c r="D20" s="140">
        <f t="shared" si="3"/>
        <v>23.44</v>
      </c>
      <c r="E20" s="134">
        <f t="shared" si="4"/>
        <v>0.40910517666747087</v>
      </c>
      <c r="F20" s="141">
        <f t="shared" si="0"/>
        <v>53.524029904680845</v>
      </c>
      <c r="G20" s="143"/>
      <c r="H20" s="142"/>
      <c r="I20" s="135">
        <f t="shared" si="1"/>
        <v>-1.9267115408860638E-2</v>
      </c>
      <c r="J20" s="135">
        <f t="shared" si="2"/>
        <v>1.3526084810399568</v>
      </c>
      <c r="K20" s="135">
        <f t="shared" si="5"/>
        <v>0.43356775861601204</v>
      </c>
      <c r="L20" s="141">
        <f t="shared" si="6"/>
        <v>-1.103787826492842</v>
      </c>
      <c r="M20" s="243">
        <v>23.44</v>
      </c>
    </row>
    <row r="21" spans="1:13" ht="9.6" customHeight="1" thickBot="1">
      <c r="A21" s="383"/>
      <c r="B21" s="361"/>
      <c r="C21" s="134"/>
      <c r="D21" s="140"/>
      <c r="E21" s="134"/>
      <c r="F21" s="141"/>
      <c r="G21" s="143"/>
      <c r="H21" s="142"/>
    </row>
    <row r="22" spans="1:13" s="144" customFormat="1">
      <c r="C22" s="362" t="str">
        <f>IF(DATA!$C$7,"This error is independent of the gnomon inclination and the inclination of the dial plane!","Dieser Fehler ist unabhängig von Gnomon-Neigung und Neigung der Uhrenebene!")</f>
        <v>This error is independent of the gnomon inclination and the inclination of the dial plane!</v>
      </c>
      <c r="D22" s="363"/>
      <c r="E22" s="363"/>
      <c r="F22" s="363"/>
      <c r="G22" s="363"/>
      <c r="H22" s="363"/>
      <c r="I22" s="363"/>
      <c r="J22" s="363"/>
      <c r="K22" s="364"/>
    </row>
    <row r="23" spans="1:13">
      <c r="A23" s="145"/>
      <c r="C23" s="365"/>
      <c r="D23" s="366"/>
      <c r="E23" s="366"/>
      <c r="F23" s="366"/>
      <c r="G23" s="366"/>
      <c r="H23" s="366"/>
      <c r="I23" s="366"/>
      <c r="J23" s="366"/>
      <c r="K23" s="367"/>
    </row>
    <row r="24" spans="1:13" ht="13.5" thickBot="1">
      <c r="A24" s="145"/>
      <c r="C24" s="368"/>
      <c r="D24" s="369"/>
      <c r="E24" s="369"/>
      <c r="F24" s="369"/>
      <c r="G24" s="369"/>
      <c r="H24" s="369"/>
      <c r="I24" s="369"/>
      <c r="J24" s="369"/>
      <c r="K24" s="370"/>
    </row>
    <row r="25" spans="1:13">
      <c r="A25" s="145"/>
    </row>
    <row r="26" spans="1:13">
      <c r="A26" s="145"/>
    </row>
    <row r="27" spans="1:13" ht="15.6" customHeight="1">
      <c r="A27" s="145"/>
      <c r="C27" s="268"/>
      <c r="D27" s="244"/>
      <c r="E27" s="244"/>
      <c r="F27" s="244"/>
      <c r="G27" s="244"/>
      <c r="H27" s="244"/>
      <c r="I27" s="244"/>
      <c r="J27" s="244"/>
      <c r="K27" s="244"/>
    </row>
    <row r="28" spans="1:13" ht="15" customHeight="1">
      <c r="A28" s="190"/>
      <c r="B28" s="244"/>
      <c r="C28" s="244"/>
      <c r="D28" s="244"/>
      <c r="E28" s="244"/>
      <c r="F28" s="244"/>
      <c r="G28" s="244"/>
      <c r="H28" s="244"/>
      <c r="I28" s="244"/>
      <c r="J28" s="244"/>
      <c r="K28" s="244"/>
    </row>
    <row r="29" spans="1:13" ht="15" customHeight="1">
      <c r="A29" s="145"/>
      <c r="B29" s="244"/>
      <c r="C29" s="244"/>
      <c r="D29" s="244"/>
      <c r="E29" s="244"/>
      <c r="F29" s="244"/>
      <c r="G29" s="244"/>
      <c r="H29" s="244"/>
      <c r="I29" s="244"/>
      <c r="J29" s="244"/>
      <c r="K29" s="244"/>
    </row>
    <row r="30" spans="1:13">
      <c r="A30" s="145"/>
      <c r="B30" s="267"/>
      <c r="C30" s="267"/>
      <c r="D30" s="267"/>
      <c r="E30" s="267"/>
      <c r="F30" s="267"/>
      <c r="G30" s="267"/>
      <c r="H30" s="267"/>
      <c r="I30" s="267"/>
      <c r="J30" s="267"/>
      <c r="K30" s="267"/>
    </row>
    <row r="31" spans="1:13">
      <c r="A31" s="145"/>
    </row>
    <row r="32" spans="1:13">
      <c r="A32" s="134" t="s">
        <v>53</v>
      </c>
    </row>
    <row r="33" spans="1:4">
      <c r="A33" s="134" t="s">
        <v>52</v>
      </c>
    </row>
    <row r="34" spans="1:4">
      <c r="A34" s="134" t="s">
        <v>54</v>
      </c>
    </row>
    <row r="35" spans="1:4">
      <c r="D35" s="141"/>
    </row>
  </sheetData>
  <sheetProtection sheet="1" objects="1" scenarios="1"/>
  <mergeCells count="10">
    <mergeCell ref="B20:B21"/>
    <mergeCell ref="C22:K24"/>
    <mergeCell ref="C1:K1"/>
    <mergeCell ref="B7:B8"/>
    <mergeCell ref="A15:B15"/>
    <mergeCell ref="A2:B2"/>
    <mergeCell ref="A12:A13"/>
    <mergeCell ref="B12:B13"/>
    <mergeCell ref="A7:A8"/>
    <mergeCell ref="A20:A21"/>
  </mergeCells>
  <phoneticPr fontId="0" type="noConversion"/>
  <printOptions horizontalCentered="1" verticalCentered="1" gridLines="1"/>
  <pageMargins left="0.59055118110236227" right="0.59055118110236227" top="0.98425196850393704" bottom="0.98425196850393704" header="0.51181102362204722" footer="0.51181102362204722"/>
  <pageSetup paperSize="9" scale="92" orientation="landscape" r:id="rId1"/>
  <headerFooter alignWithMargins="0">
    <oddHeader>&amp;L&amp;9Fehler im Auf-/Untergangswinkel</oddHeader>
    <oddFooter>&amp;L&amp;"Arial,Standard"&amp;10&amp;F/&amp;A&amp;R&amp;"Arial,Standard"&amp;10H.Sonderegger</oddFooter>
  </headerFooter>
  <drawing r:id="rId2"/>
  <legacyDrawing r:id="rId3"/>
</worksheet>
</file>

<file path=xl/worksheets/sheet5.xml><?xml version="1.0" encoding="utf-8"?>
<worksheet xmlns="http://schemas.openxmlformats.org/spreadsheetml/2006/main" xmlns:r="http://schemas.openxmlformats.org/officeDocument/2006/relationships">
  <dimension ref="A1:N25"/>
  <sheetViews>
    <sheetView zoomScale="90" zoomScaleNormal="90" workbookViewId="0">
      <selection activeCell="E25" sqref="E25"/>
    </sheetView>
  </sheetViews>
  <sheetFormatPr baseColWidth="10" defaultRowHeight="15"/>
  <sheetData>
    <row r="1" spans="1:14" ht="18.75">
      <c r="A1" s="289" t="s">
        <v>63</v>
      </c>
      <c r="C1" s="289"/>
      <c r="D1" s="289"/>
      <c r="E1" s="289"/>
    </row>
    <row r="2" spans="1:14" ht="18.75">
      <c r="C2" s="289"/>
      <c r="D2" s="289"/>
      <c r="E2" s="289"/>
    </row>
    <row r="3" spans="1:14" ht="18.75">
      <c r="A3" s="290">
        <v>37257</v>
      </c>
      <c r="B3">
        <v>3.0863751906327962E-2</v>
      </c>
      <c r="C3" s="289">
        <v>-0.75010650309605309</v>
      </c>
      <c r="D3" s="289"/>
      <c r="E3" s="289">
        <v>3.0863751906327962E-2</v>
      </c>
      <c r="F3" s="289">
        <v>-0.74220666306230432</v>
      </c>
      <c r="H3">
        <v>3.0863751906327962E-2</v>
      </c>
      <c r="I3">
        <v>-0.7443506267553921</v>
      </c>
      <c r="J3" s="290">
        <v>37257</v>
      </c>
      <c r="L3">
        <v>3.0863751906327962E-2</v>
      </c>
      <c r="M3">
        <v>-0.75765302900757547</v>
      </c>
      <c r="N3" s="290">
        <v>37257</v>
      </c>
    </row>
    <row r="4" spans="1:14" ht="18.75">
      <c r="A4" s="290">
        <v>37289</v>
      </c>
      <c r="B4">
        <v>0.11971131020038227</v>
      </c>
      <c r="C4" s="289">
        <v>-0.53303151084335931</v>
      </c>
      <c r="D4" s="289"/>
      <c r="E4" s="289">
        <v>0.11971131020038227</v>
      </c>
      <c r="F4" s="289">
        <v>-0.52741782311870999</v>
      </c>
      <c r="H4">
        <v>0.11971131020038227</v>
      </c>
      <c r="I4">
        <v>-0.52894134038166263</v>
      </c>
      <c r="J4" s="290">
        <v>37289</v>
      </c>
      <c r="L4">
        <v>0.11971131020038227</v>
      </c>
      <c r="M4">
        <v>-0.53839413080683707</v>
      </c>
      <c r="N4" s="290">
        <v>37289</v>
      </c>
    </row>
    <row r="5" spans="1:14" ht="18.75">
      <c r="A5" s="290">
        <v>37316</v>
      </c>
      <c r="B5">
        <v>0.10799173005763243</v>
      </c>
      <c r="C5" s="289">
        <v>-0.23409353247469095</v>
      </c>
      <c r="D5" s="289"/>
      <c r="E5" s="289">
        <v>0.10799173005763243</v>
      </c>
      <c r="F5" s="289">
        <v>-0.23162814729025077</v>
      </c>
      <c r="H5">
        <v>0.10799173005763243</v>
      </c>
      <c r="I5">
        <v>-0.23229723632272931</v>
      </c>
      <c r="J5" s="290">
        <v>37316</v>
      </c>
      <c r="L5">
        <v>0.10799173005763243</v>
      </c>
      <c r="M5">
        <v>-0.23644865524892164</v>
      </c>
      <c r="N5" s="290">
        <v>37316</v>
      </c>
    </row>
    <row r="6" spans="1:14" ht="18.75">
      <c r="A6" s="290">
        <v>37336</v>
      </c>
      <c r="B6">
        <v>6.3137472645378639E-2</v>
      </c>
      <c r="C6" s="289">
        <v>8.6016175890805489E-3</v>
      </c>
      <c r="D6" s="289"/>
      <c r="E6" s="289">
        <v>6.3137472645378639E-2</v>
      </c>
      <c r="F6" s="289">
        <v>8.5110285824464924E-3</v>
      </c>
      <c r="H6">
        <v>6.3137472645378639E-2</v>
      </c>
      <c r="I6">
        <v>8.5356138323232737E-3</v>
      </c>
      <c r="J6" s="290">
        <v>37336</v>
      </c>
      <c r="L6">
        <v>6.3137472645378639E-2</v>
      </c>
      <c r="M6">
        <v>8.6881550737564969E-3</v>
      </c>
      <c r="N6" s="290">
        <v>37336</v>
      </c>
    </row>
    <row r="7" spans="1:14" ht="18.75">
      <c r="A7" s="290">
        <v>37347</v>
      </c>
      <c r="B7">
        <v>3.4270213419667184E-2</v>
      </c>
      <c r="C7" s="289">
        <v>0.14173965746864581</v>
      </c>
      <c r="D7" s="289"/>
      <c r="E7" s="289">
        <v>3.4270213419667184E-2</v>
      </c>
      <c r="F7" s="289">
        <v>0.1402469086178906</v>
      </c>
      <c r="H7">
        <v>3.4270213419667184E-2</v>
      </c>
      <c r="I7">
        <v>0.14065203066153265</v>
      </c>
      <c r="J7" s="290">
        <v>37347</v>
      </c>
      <c r="L7">
        <v>3.4270213419667184E-2</v>
      </c>
      <c r="M7">
        <v>0.14316564430299869</v>
      </c>
      <c r="N7" s="290">
        <v>37347</v>
      </c>
    </row>
    <row r="8" spans="1:14" ht="18.75">
      <c r="A8" s="290">
        <v>37377</v>
      </c>
      <c r="B8">
        <v>-2.5317259552383196E-2</v>
      </c>
      <c r="C8" s="289">
        <v>0.47736000145908242</v>
      </c>
      <c r="D8" s="289"/>
      <c r="E8" s="289">
        <v>-2.5317259552383196E-2</v>
      </c>
      <c r="F8" s="289">
        <v>0.47233262516722013</v>
      </c>
      <c r="H8">
        <v>-2.5317259552383196E-2</v>
      </c>
      <c r="I8">
        <v>0.47369702143286557</v>
      </c>
      <c r="J8" s="290">
        <v>37377</v>
      </c>
      <c r="L8">
        <v>-2.5317259552383196E-2</v>
      </c>
      <c r="M8">
        <v>0.48216253230672401</v>
      </c>
      <c r="N8" s="290">
        <v>37377</v>
      </c>
    </row>
    <row r="9" spans="1:14" ht="18.75">
      <c r="A9" s="290">
        <v>37408</v>
      </c>
      <c r="B9">
        <v>-1.9260451791052971E-2</v>
      </c>
      <c r="C9" s="289">
        <v>0.71672387265422222</v>
      </c>
      <c r="D9" s="289"/>
      <c r="E9" s="289">
        <v>-1.9260451791052971E-2</v>
      </c>
      <c r="F9" s="289">
        <v>0.70917560594947104</v>
      </c>
      <c r="H9">
        <v>-1.9260451791052971E-2</v>
      </c>
      <c r="I9">
        <v>0.71122415499496994</v>
      </c>
      <c r="J9" s="290">
        <v>37408</v>
      </c>
      <c r="L9">
        <v>-1.9260451791052971E-2</v>
      </c>
      <c r="M9">
        <v>0.72393454907692645</v>
      </c>
      <c r="N9" s="290">
        <v>37408</v>
      </c>
    </row>
    <row r="10" spans="1:14" ht="18.75">
      <c r="A10" s="290">
        <v>37428</v>
      </c>
      <c r="B10">
        <v>1.5089362101401018E-2</v>
      </c>
      <c r="C10" s="289">
        <v>0.76644839252787578</v>
      </c>
      <c r="D10" s="289"/>
      <c r="E10" s="289">
        <v>1.5089362101401018E-2</v>
      </c>
      <c r="F10" s="289">
        <v>0.7583764458508333</v>
      </c>
      <c r="H10">
        <v>1.5089362101401018E-2</v>
      </c>
      <c r="I10">
        <v>0.76056711813459943</v>
      </c>
      <c r="J10" s="290">
        <v>37428</v>
      </c>
      <c r="L10">
        <v>1.5089362101401018E-2</v>
      </c>
      <c r="M10">
        <v>0.77415932774865159</v>
      </c>
      <c r="N10" s="290">
        <v>37428</v>
      </c>
    </row>
    <row r="11" spans="1:14" ht="18.75">
      <c r="A11" s="290">
        <v>37438</v>
      </c>
      <c r="B11">
        <v>3.3244298463397763E-2</v>
      </c>
      <c r="C11" s="289">
        <v>0.75403981108078588</v>
      </c>
      <c r="D11" s="289"/>
      <c r="E11" s="289">
        <v>3.3244298463397763E-2</v>
      </c>
      <c r="F11" s="289">
        <v>0.74609854692425648</v>
      </c>
      <c r="H11">
        <v>3.3244298463397763E-2</v>
      </c>
      <c r="I11">
        <v>0.74825375284691853</v>
      </c>
      <c r="J11" s="290">
        <v>37438</v>
      </c>
      <c r="L11">
        <v>3.3244298463397763E-2</v>
      </c>
      <c r="M11">
        <v>0.76162590845383049</v>
      </c>
      <c r="N11" s="290">
        <v>37438</v>
      </c>
    </row>
    <row r="12" spans="1:14" ht="18.75">
      <c r="A12" s="290">
        <v>37469</v>
      </c>
      <c r="B12">
        <v>5.5257694241718565E-2</v>
      </c>
      <c r="C12" s="289">
        <v>0.57397492352771584</v>
      </c>
      <c r="D12" s="289"/>
      <c r="E12" s="289">
        <v>5.5257694241718565E-2</v>
      </c>
      <c r="F12" s="289">
        <v>0.56793003515448237</v>
      </c>
      <c r="H12">
        <v>5.5257694241718565E-2</v>
      </c>
      <c r="I12">
        <v>0.56957057738642813</v>
      </c>
      <c r="J12" s="290">
        <v>37469</v>
      </c>
      <c r="L12">
        <v>5.5257694241718565E-2</v>
      </c>
      <c r="M12">
        <v>0.57974945903045805</v>
      </c>
      <c r="N12" s="290">
        <v>37469</v>
      </c>
    </row>
    <row r="13" spans="1:14" ht="18.75">
      <c r="A13" s="290">
        <v>37500</v>
      </c>
      <c r="B13">
        <v>2.7030736410430694E-4</v>
      </c>
      <c r="C13" s="289">
        <v>0.25598192983973256</v>
      </c>
      <c r="D13" s="289"/>
      <c r="E13" s="289">
        <v>2.7030736410430694E-4</v>
      </c>
      <c r="F13" s="289">
        <v>0.25328602427309965</v>
      </c>
      <c r="H13">
        <v>2.7030736410430694E-4</v>
      </c>
      <c r="I13">
        <v>0.25401767499389422</v>
      </c>
      <c r="J13" s="290">
        <v>37500</v>
      </c>
      <c r="L13">
        <v>2.7030736410430694E-4</v>
      </c>
      <c r="M13">
        <v>0.25855726315366023</v>
      </c>
      <c r="N13" s="290">
        <v>37500</v>
      </c>
    </row>
    <row r="14" spans="1:14" ht="18.75">
      <c r="A14" s="290">
        <v>37521</v>
      </c>
      <c r="B14">
        <v>-6.3177541191315051E-2</v>
      </c>
      <c r="C14" s="289">
        <v>8.4364816556499762E-3</v>
      </c>
      <c r="D14" s="289"/>
      <c r="E14" s="289">
        <v>-6.3177541191315051E-2</v>
      </c>
      <c r="F14" s="289">
        <v>8.3476317986600594E-3</v>
      </c>
      <c r="H14">
        <v>-6.3177541191315051E-2</v>
      </c>
      <c r="I14">
        <v>8.3717450549676085E-3</v>
      </c>
      <c r="J14" s="290">
        <v>37521</v>
      </c>
      <c r="L14">
        <v>-6.3177541191315051E-2</v>
      </c>
      <c r="M14">
        <v>8.5213577727795645E-3</v>
      </c>
      <c r="N14" s="290">
        <v>37521</v>
      </c>
    </row>
    <row r="15" spans="1:14" ht="18.75">
      <c r="A15" s="290">
        <v>37530</v>
      </c>
      <c r="B15">
        <v>-8.9821292144996248E-2</v>
      </c>
      <c r="C15" s="289">
        <v>-9.972042901330079E-2</v>
      </c>
      <c r="D15" s="289"/>
      <c r="E15" s="289">
        <v>-8.9821292144996248E-2</v>
      </c>
      <c r="F15" s="289">
        <v>-9.8670210898872568E-2</v>
      </c>
      <c r="H15">
        <v>-8.9821292144996248E-2</v>
      </c>
      <c r="I15">
        <v>-9.8955233063566808E-2</v>
      </c>
      <c r="J15" s="290">
        <v>37530</v>
      </c>
      <c r="L15">
        <v>-8.9821292144996248E-2</v>
      </c>
      <c r="M15">
        <v>-0.10072367694989499</v>
      </c>
      <c r="N15" s="290">
        <v>37530</v>
      </c>
    </row>
    <row r="16" spans="1:14" ht="18.75">
      <c r="A16" s="290">
        <v>37561</v>
      </c>
      <c r="B16">
        <v>-0.14316497060970421</v>
      </c>
      <c r="C16" s="289">
        <v>-0.4559563236663815</v>
      </c>
      <c r="D16" s="289"/>
      <c r="E16" s="289">
        <v>-0.14316497060970421</v>
      </c>
      <c r="F16" s="289">
        <v>-0.45115436287218297</v>
      </c>
      <c r="H16">
        <v>-0.14316497060970421</v>
      </c>
      <c r="I16">
        <v>-0.45245758288099464</v>
      </c>
      <c r="J16" s="290">
        <v>37561</v>
      </c>
      <c r="L16">
        <v>-0.14316497060970421</v>
      </c>
      <c r="M16">
        <v>-0.460543520546916</v>
      </c>
      <c r="N16" s="290">
        <v>37561</v>
      </c>
    </row>
    <row r="17" spans="1:14" ht="18.75">
      <c r="A17" s="290">
        <v>37591</v>
      </c>
      <c r="B17">
        <v>-9.6025857875305404E-2</v>
      </c>
      <c r="C17" s="289">
        <v>-0.70770672544017332</v>
      </c>
      <c r="D17" s="289"/>
      <c r="E17" s="289">
        <v>-9.6025857875305404E-2</v>
      </c>
      <c r="F17" s="289">
        <v>-0.70025342394403944</v>
      </c>
      <c r="H17">
        <v>-9.6025857875305404E-2</v>
      </c>
      <c r="I17">
        <v>-0.70227620006774349</v>
      </c>
      <c r="J17" s="290">
        <v>37591</v>
      </c>
      <c r="L17">
        <v>-9.6025857875305404E-2</v>
      </c>
      <c r="M17">
        <v>-0.71482668389840454</v>
      </c>
      <c r="N17" s="290">
        <v>37591</v>
      </c>
    </row>
    <row r="18" spans="1:14" ht="18.75">
      <c r="A18" s="290">
        <v>37611</v>
      </c>
      <c r="B18">
        <v>-1.7194251276516373E-2</v>
      </c>
      <c r="C18" s="289">
        <v>-0.76640357612028964</v>
      </c>
      <c r="D18" s="289"/>
      <c r="E18" s="289">
        <v>-1.7194251276516373E-2</v>
      </c>
      <c r="F18" s="289">
        <v>-0.75833210143282381</v>
      </c>
      <c r="H18">
        <v>-1.7194251276516373E-2</v>
      </c>
      <c r="I18">
        <v>-0.76052264562177896</v>
      </c>
      <c r="J18" s="290">
        <v>37611</v>
      </c>
      <c r="L18">
        <v>-1.7194251276516373E-2</v>
      </c>
      <c r="M18">
        <v>-0.77411406046085085</v>
      </c>
      <c r="N18" s="290">
        <v>37611</v>
      </c>
    </row>
    <row r="22" spans="1:14">
      <c r="A22" t="s">
        <v>85</v>
      </c>
      <c r="E22" t="s">
        <v>66</v>
      </c>
      <c r="I22" t="s">
        <v>67</v>
      </c>
      <c r="L22" t="s">
        <v>68</v>
      </c>
    </row>
    <row r="24" spans="1:14" ht="18.75">
      <c r="A24" t="s">
        <v>88</v>
      </c>
      <c r="B24" s="289">
        <v>27.88</v>
      </c>
    </row>
    <row r="25" spans="1:14" ht="18.75">
      <c r="A25" t="s">
        <v>89</v>
      </c>
      <c r="B25" s="289">
        <v>-78.069999999999993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34"/>
  <sheetViews>
    <sheetView zoomScale="70" zoomScaleNormal="70" workbookViewId="0">
      <selection activeCell="A25" sqref="A25:B26"/>
    </sheetView>
  </sheetViews>
  <sheetFormatPr baseColWidth="10" defaultRowHeight="18.75"/>
  <cols>
    <col min="1" max="1" width="13.21875" style="289" customWidth="1"/>
    <col min="2" max="2" width="15.33203125" style="289" customWidth="1"/>
    <col min="3" max="3" width="11.5546875" style="289"/>
    <col min="4" max="4" width="23" style="289" customWidth="1"/>
    <col min="5" max="16384" width="11.5546875" style="289"/>
  </cols>
  <sheetData>
    <row r="1" spans="1:14">
      <c r="A1" s="289" t="s">
        <v>64</v>
      </c>
      <c r="B1" s="289" t="s">
        <v>65</v>
      </c>
      <c r="E1" s="289" t="s">
        <v>65</v>
      </c>
      <c r="I1" s="289" t="s">
        <v>69</v>
      </c>
    </row>
    <row r="2" spans="1:14">
      <c r="A2" s="289" t="s">
        <v>69</v>
      </c>
    </row>
    <row r="4" spans="1:14">
      <c r="A4" s="289" t="s">
        <v>72</v>
      </c>
      <c r="B4" s="289" t="s">
        <v>73</v>
      </c>
      <c r="C4" s="289" t="s">
        <v>74</v>
      </c>
      <c r="E4" s="289" t="s">
        <v>19</v>
      </c>
      <c r="F4" s="289" t="s">
        <v>20</v>
      </c>
      <c r="J4" s="289" t="s">
        <v>70</v>
      </c>
      <c r="K4" s="289" t="s">
        <v>71</v>
      </c>
      <c r="M4" s="289" t="s">
        <v>70</v>
      </c>
      <c r="N4" s="289" t="s">
        <v>71</v>
      </c>
    </row>
    <row r="6" spans="1:14">
      <c r="A6" s="289">
        <v>5</v>
      </c>
      <c r="B6">
        <v>-1.8757778692237954</v>
      </c>
      <c r="C6">
        <v>-0.32927604468305971</v>
      </c>
      <c r="E6" s="289">
        <v>-1.8817615379084509</v>
      </c>
      <c r="F6" s="289">
        <v>-0.32844680495430745</v>
      </c>
      <c r="J6" s="289">
        <v>-1.8829410896240757</v>
      </c>
      <c r="K6" s="289">
        <v>-0.32376212794289616</v>
      </c>
      <c r="M6" s="289">
        <v>-1.896979331068078</v>
      </c>
      <c r="N6" s="289">
        <v>-0.28538712460534621</v>
      </c>
    </row>
    <row r="7" spans="1:14">
      <c r="A7" s="289">
        <v>6</v>
      </c>
      <c r="B7">
        <v>-1.9914493963691642</v>
      </c>
      <c r="C7">
        <v>-8.7668769529822263E-2</v>
      </c>
      <c r="E7" s="289">
        <v>-1.9929857184990087</v>
      </c>
      <c r="F7" s="289">
        <v>-8.1135646897944572E-2</v>
      </c>
      <c r="J7" s="289">
        <v>-1.9932747736360732</v>
      </c>
      <c r="K7" s="289">
        <v>-7.8697594379194283E-2</v>
      </c>
      <c r="M7" s="289">
        <v>-1.9963332530776019</v>
      </c>
      <c r="N7" s="289">
        <v>-5.4522964150251783E-2</v>
      </c>
    </row>
    <row r="8" spans="1:14">
      <c r="A8" s="289">
        <v>7</v>
      </c>
      <c r="B8">
        <v>-1.9714069381777071</v>
      </c>
      <c r="C8">
        <v>0.15991298738738102</v>
      </c>
      <c r="E8" s="289">
        <v>-1.9683912159384838</v>
      </c>
      <c r="F8" s="289">
        <v>0.17170477141151688</v>
      </c>
      <c r="J8" s="289">
        <v>-1.9677700758670833</v>
      </c>
      <c r="K8" s="289">
        <v>0.17173005018752563</v>
      </c>
      <c r="M8" s="289">
        <v>-1.9596403629865746</v>
      </c>
      <c r="N8" s="289">
        <v>0.18005684620822382</v>
      </c>
    </row>
    <row r="9" spans="1:14">
      <c r="A9" s="289">
        <v>8</v>
      </c>
      <c r="B9">
        <v>-1.8170163550534435</v>
      </c>
      <c r="C9">
        <v>0.39659693848284078</v>
      </c>
      <c r="E9" s="289">
        <v>-1.8096541049320392</v>
      </c>
      <c r="F9" s="289">
        <v>0.41284379330483467</v>
      </c>
      <c r="J9" s="289">
        <v>-1.8081650993215568</v>
      </c>
      <c r="K9" s="289">
        <v>0.41045457563129201</v>
      </c>
      <c r="M9" s="289">
        <v>-1.7894012206168315</v>
      </c>
      <c r="N9" s="289">
        <v>0.40236608005561653</v>
      </c>
    </row>
    <row r="10" spans="1:14">
      <c r="A10" s="289">
        <v>9</v>
      </c>
      <c r="B10">
        <v>-1.5387991100937901</v>
      </c>
      <c r="C10">
        <v>0.6062534636281246</v>
      </c>
      <c r="E10" s="289">
        <v>-1.5275920572692843</v>
      </c>
      <c r="F10" s="289">
        <v>0.62584819294105465</v>
      </c>
      <c r="J10" s="289">
        <v>-1.5253366593913766</v>
      </c>
      <c r="K10" s="289">
        <v>0.62120730005404368</v>
      </c>
      <c r="M10" s="289">
        <v>-1.4972173421873862</v>
      </c>
      <c r="N10" s="289">
        <v>0.59725473048860567</v>
      </c>
    </row>
    <row r="11" spans="1:14">
      <c r="A11" s="289">
        <v>10</v>
      </c>
      <c r="B11">
        <v>-1.1557152487670106</v>
      </c>
      <c r="C11">
        <v>0.77459481710837097</v>
      </c>
      <c r="E11" s="289">
        <v>-1.1414271353688632</v>
      </c>
      <c r="F11" s="289">
        <v>0.7962020724913822</v>
      </c>
      <c r="J11" s="289">
        <v>-1.1385590468616884</v>
      </c>
      <c r="K11" s="289">
        <v>0.7896257735717146</v>
      </c>
      <c r="M11" s="289">
        <v>-1.1030005761565158</v>
      </c>
      <c r="N11" s="289">
        <v>0.75144145804890583</v>
      </c>
    </row>
    <row r="12" spans="1:14">
      <c r="A12" s="289">
        <v>11</v>
      </c>
      <c r="B12">
        <v>-0.69387130314651158</v>
      </c>
      <c r="C12">
        <v>0.89014881388114131</v>
      </c>
      <c r="E12" s="289">
        <v>-0.67747584049058263</v>
      </c>
      <c r="F12" s="289">
        <v>0.91229609658755939</v>
      </c>
      <c r="J12" s="289">
        <v>-0.67419051684616427</v>
      </c>
      <c r="K12" s="289">
        <v>0.90423255553876269</v>
      </c>
      <c r="M12" s="289">
        <v>-0.63361614365521579</v>
      </c>
      <c r="N12" s="289">
        <v>0.85441869205889764</v>
      </c>
    </row>
    <row r="13" spans="1:14">
      <c r="A13" s="289">
        <v>12</v>
      </c>
      <c r="B13">
        <v>-0.18474117489312306</v>
      </c>
      <c r="C13">
        <v>0.94504064002837995</v>
      </c>
      <c r="E13" s="289">
        <v>-0.16735568666463088</v>
      </c>
      <c r="F13" s="289">
        <v>0.96621864934187773</v>
      </c>
      <c r="J13" s="289">
        <v>-0.16387701726008194</v>
      </c>
      <c r="K13" s="289">
        <v>0.95721738316079563</v>
      </c>
      <c r="M13" s="289">
        <v>-0.1210518180639988</v>
      </c>
      <c r="N13" s="289">
        <v>0.89916870419872552</v>
      </c>
    </row>
    <row r="14" spans="1:14">
      <c r="A14" s="289">
        <v>13</v>
      </c>
      <c r="B14">
        <v>0.33697875913000525</v>
      </c>
      <c r="C14">
        <v>0.93552950831118442</v>
      </c>
      <c r="E14" s="289">
        <v>0.3541694806391667</v>
      </c>
      <c r="F14" s="289">
        <v>0.9542949978953621</v>
      </c>
      <c r="J14" s="289">
        <v>0.35760443023269911</v>
      </c>
      <c r="K14" s="289">
        <v>0.94496942799693984</v>
      </c>
      <c r="M14" s="289">
        <v>0.39976198888069181</v>
      </c>
      <c r="N14" s="289">
        <v>0.88264185509395199</v>
      </c>
    </row>
    <row r="15" spans="1:14">
      <c r="A15" s="289">
        <v>14</v>
      </c>
      <c r="B15">
        <v>0.83573414760215359</v>
      </c>
      <c r="C15">
        <v>0.86226358663819314</v>
      </c>
      <c r="E15" s="289">
        <v>0.85155858313014543</v>
      </c>
      <c r="F15" s="289">
        <v>0.87733771938932692</v>
      </c>
      <c r="J15" s="289">
        <v>0.85471572677438468</v>
      </c>
      <c r="K15" s="289">
        <v>0.86832336795090903</v>
      </c>
      <c r="M15" s="289">
        <v>0.89333267692108598</v>
      </c>
      <c r="N15" s="289">
        <v>0.80596442219915765</v>
      </c>
    </row>
    <row r="16" spans="1:14">
      <c r="A16" s="289">
        <v>15</v>
      </c>
      <c r="B16">
        <v>1.2775356350311955</v>
      </c>
      <c r="C16">
        <v>0.7302358264937604</v>
      </c>
      <c r="E16" s="289">
        <v>1.2909153754479012</v>
      </c>
      <c r="F16" s="289">
        <v>0.74059132517604254</v>
      </c>
      <c r="J16" s="289">
        <v>1.2935795590209191</v>
      </c>
      <c r="K16" s="289">
        <v>0.73250250535123707</v>
      </c>
      <c r="M16" s="289">
        <v>1.3260242193313585</v>
      </c>
      <c r="N16" s="289">
        <v>0.67436184585067382</v>
      </c>
    </row>
    <row r="17" spans="1:14">
      <c r="A17" s="289">
        <v>16</v>
      </c>
      <c r="B17">
        <v>1.6322751801603204</v>
      </c>
      <c r="C17">
        <v>0.54844370154553923</v>
      </c>
      <c r="E17" s="289">
        <v>1.6422984182674081</v>
      </c>
      <c r="F17" s="289">
        <v>0.55337485603704306</v>
      </c>
      <c r="J17" s="289">
        <v>1.6442880820614747</v>
      </c>
      <c r="K17" s="289">
        <v>0.54676280752950368</v>
      </c>
      <c r="M17" s="289">
        <v>1.6683494025528327</v>
      </c>
      <c r="N17" s="289">
        <v>0.49680262414310911</v>
      </c>
    </row>
    <row r="18" spans="1:14">
      <c r="A18" s="289">
        <v>17</v>
      </c>
      <c r="B18">
        <v>1.8757778692237952</v>
      </c>
      <c r="C18">
        <v>0.32927604468305982</v>
      </c>
      <c r="E18" s="289">
        <v>1.8817615379084511</v>
      </c>
      <c r="F18" s="289">
        <v>0.32844680495430739</v>
      </c>
      <c r="J18" s="289">
        <v>1.8829410896240759</v>
      </c>
      <c r="K18" s="289">
        <v>0.32376212794289611</v>
      </c>
      <c r="M18" s="289">
        <v>1.896979331068078</v>
      </c>
      <c r="N18" s="289">
        <v>0.28538712460534638</v>
      </c>
    </row>
    <row r="19" spans="1:14">
      <c r="A19" s="289">
        <v>18</v>
      </c>
      <c r="B19">
        <v>1.9914493963691642</v>
      </c>
      <c r="C19">
        <v>8.766876952982236E-2</v>
      </c>
      <c r="E19" s="289">
        <v>1.9929857184990087</v>
      </c>
      <c r="F19" s="289">
        <v>8.1135646897944683E-2</v>
      </c>
      <c r="J19" s="289">
        <v>1.9932747736360732</v>
      </c>
      <c r="K19" s="289">
        <v>7.8697594379194394E-2</v>
      </c>
      <c r="M19" s="289">
        <v>1.9963332530776019</v>
      </c>
      <c r="N19" s="289">
        <v>5.4522964150251894E-2</v>
      </c>
    </row>
    <row r="20" spans="1:14">
      <c r="A20" s="289">
        <v>19</v>
      </c>
      <c r="B20">
        <v>1.9714069381777071</v>
      </c>
      <c r="C20">
        <v>-0.15991298738738091</v>
      </c>
      <c r="E20" s="289">
        <v>1.968391215938484</v>
      </c>
      <c r="F20" s="289">
        <v>-0.17170477141151677</v>
      </c>
      <c r="J20" s="289">
        <v>1.9677700758670833</v>
      </c>
      <c r="K20" s="289">
        <v>-0.17173005018752552</v>
      </c>
      <c r="M20" s="289">
        <v>1.9596403629865746</v>
      </c>
      <c r="N20" s="289">
        <v>-0.1800568462082239</v>
      </c>
    </row>
    <row r="21" spans="1:14">
      <c r="A21" s="289">
        <v>20</v>
      </c>
      <c r="B21">
        <v>1.8170163550534435</v>
      </c>
      <c r="C21">
        <v>-0.39659693848284089</v>
      </c>
      <c r="E21" s="289">
        <v>1.8096541049320389</v>
      </c>
      <c r="F21" s="289">
        <v>-0.41284379330483473</v>
      </c>
      <c r="J21" s="289">
        <v>1.8081650993215568</v>
      </c>
      <c r="K21" s="289">
        <v>-0.41045457563129212</v>
      </c>
      <c r="M21" s="289">
        <v>1.7894012206168315</v>
      </c>
      <c r="N21" s="289">
        <v>-0.40236608005561647</v>
      </c>
    </row>
    <row r="23" spans="1:14">
      <c r="A23" t="s">
        <v>85</v>
      </c>
      <c r="E23" s="289" t="s">
        <v>66</v>
      </c>
      <c r="J23" s="289" t="s">
        <v>67</v>
      </c>
      <c r="M23" s="289" t="s">
        <v>68</v>
      </c>
    </row>
    <row r="24" spans="1:14">
      <c r="A24"/>
    </row>
    <row r="25" spans="1:14">
      <c r="A25" t="s">
        <v>88</v>
      </c>
      <c r="B25" s="289">
        <v>27.88</v>
      </c>
    </row>
    <row r="26" spans="1:14">
      <c r="A26" t="s">
        <v>89</v>
      </c>
      <c r="B26" s="289">
        <v>-78.069999999999993</v>
      </c>
    </row>
    <row r="28" spans="1:14">
      <c r="A28" s="289" t="s">
        <v>75</v>
      </c>
      <c r="C28" s="289">
        <v>1.7678578291236753</v>
      </c>
      <c r="E28" t="s">
        <v>79</v>
      </c>
    </row>
    <row r="29" spans="1:14">
      <c r="A29" s="289" t="s">
        <v>76</v>
      </c>
      <c r="C29" s="289">
        <v>7.5357156582473506</v>
      </c>
      <c r="E29" t="s">
        <v>80</v>
      </c>
    </row>
    <row r="30" spans="1:14">
      <c r="A30" s="289" t="s">
        <v>77</v>
      </c>
      <c r="C30" s="289">
        <v>-0.76384304061344666</v>
      </c>
      <c r="E30" t="s">
        <v>81</v>
      </c>
    </row>
    <row r="31" spans="1:14">
      <c r="B31" s="289" t="s">
        <v>78</v>
      </c>
      <c r="C31" s="289">
        <v>2.1733488612081153</v>
      </c>
    </row>
    <row r="32" spans="1:14">
      <c r="A32" s="289" t="s">
        <v>86</v>
      </c>
      <c r="B32" s="289">
        <v>2</v>
      </c>
      <c r="E32" t="s">
        <v>82</v>
      </c>
    </row>
    <row r="33" spans="1:5">
      <c r="A33" s="289" t="s">
        <v>87</v>
      </c>
      <c r="B33" s="289">
        <v>0.9352425867154075</v>
      </c>
      <c r="E33" t="s">
        <v>83</v>
      </c>
    </row>
    <row r="34" spans="1:5">
      <c r="E34"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6</vt:i4>
      </vt:variant>
      <vt:variant>
        <vt:lpstr>Graphiques</vt:lpstr>
      </vt:variant>
      <vt:variant>
        <vt:i4>6</vt:i4>
      </vt:variant>
      <vt:variant>
        <vt:lpstr>Plages nommées</vt:lpstr>
      </vt:variant>
      <vt:variant>
        <vt:i4>5</vt:i4>
      </vt:variant>
    </vt:vector>
  </HeadingPairs>
  <TitlesOfParts>
    <vt:vector size="17" baseType="lpstr">
      <vt:lpstr>DATA</vt:lpstr>
      <vt:lpstr>Hilfe</vt:lpstr>
      <vt:lpstr>Help</vt:lpstr>
      <vt:lpstr>Error</vt:lpstr>
      <vt:lpstr>analemna</vt:lpstr>
      <vt:lpstr>ellipse</vt:lpstr>
      <vt:lpstr>Layout</vt:lpstr>
      <vt:lpstr>Layout 2</vt:lpstr>
      <vt:lpstr>Epicycle</vt:lpstr>
      <vt:lpstr>EoT</vt:lpstr>
      <vt:lpstr>DecEoT</vt:lpstr>
      <vt:lpstr>Zodiac</vt:lpstr>
      <vt:lpstr>Datumsmatrix</vt:lpstr>
      <vt:lpstr>DATA!Print_Area_MI</vt:lpstr>
      <vt:lpstr>DATA!Zone_d_impression</vt:lpstr>
      <vt:lpstr>Error!Zone_d_impression</vt:lpstr>
      <vt:lpstr>Help!Zone_d_impression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Bailey, Helmut Sonderegger</dc:creator>
  <cp:lastModifiedBy>vayssie</cp:lastModifiedBy>
  <cp:lastPrinted>2013-08-02T19:27:47Z</cp:lastPrinted>
  <dcterms:created xsi:type="dcterms:W3CDTF">1998-12-24T17:29:06Z</dcterms:created>
  <dcterms:modified xsi:type="dcterms:W3CDTF">2014-01-23T00:06:56Z</dcterms:modified>
</cp:coreProperties>
</file>